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orisnik\Desktop\KATARINA\ZADARSKA ŽUPANIJA\IZVRŠENJE FINANCIJSKOG PLANA\2025\1-6-2025\"/>
    </mc:Choice>
  </mc:AlternateContent>
  <xr:revisionPtr revIDLastSave="0" documentId="13_ncr:1_{B8B5179C-3DFE-4D90-AE4E-B632742684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definedNames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E18" i="5" l="1"/>
  <c r="G11" i="3" l="1"/>
  <c r="G14" i="3"/>
  <c r="G29" i="3"/>
  <c r="G22" i="3"/>
  <c r="I71" i="3"/>
  <c r="H45" i="3"/>
  <c r="I62" i="3"/>
  <c r="I52" i="3"/>
  <c r="I84" i="3"/>
  <c r="I73" i="3"/>
  <c r="I72" i="3"/>
  <c r="I67" i="3"/>
  <c r="I66" i="3"/>
  <c r="I64" i="3"/>
  <c r="I63" i="3"/>
  <c r="I60" i="3"/>
  <c r="I59" i="3"/>
  <c r="I58" i="3"/>
  <c r="I54" i="3"/>
  <c r="I49" i="3"/>
  <c r="H104" i="3"/>
  <c r="H98" i="3"/>
  <c r="H53" i="3"/>
  <c r="H52" i="3"/>
  <c r="H48" i="3"/>
  <c r="H78" i="3"/>
  <c r="H69" i="3"/>
  <c r="H62" i="3"/>
  <c r="H57" i="3"/>
  <c r="G53" i="3"/>
  <c r="G75" i="3"/>
  <c r="G73" i="3"/>
  <c r="G72" i="3"/>
  <c r="G71" i="3"/>
  <c r="G67" i="3"/>
  <c r="G66" i="3"/>
  <c r="G65" i="3"/>
  <c r="G64" i="3"/>
  <c r="G63" i="3"/>
  <c r="E34" i="5" l="1"/>
  <c r="E30" i="5"/>
  <c r="E24" i="5"/>
  <c r="C33" i="5"/>
  <c r="D218" i="7" l="1"/>
  <c r="C218" i="7"/>
  <c r="E61" i="7"/>
  <c r="D61" i="7"/>
  <c r="C61" i="7"/>
  <c r="D6" i="7"/>
  <c r="C6" i="7"/>
  <c r="D187" i="7"/>
  <c r="E187" i="7"/>
  <c r="C187" i="7"/>
  <c r="C216" i="7"/>
  <c r="E216" i="7"/>
  <c r="D216" i="7"/>
  <c r="D81" i="7"/>
  <c r="E80" i="7"/>
  <c r="D92" i="7"/>
  <c r="C92" i="7"/>
  <c r="D105" i="7"/>
  <c r="C105" i="7"/>
  <c r="D114" i="7"/>
  <c r="C114" i="7"/>
  <c r="D129" i="7"/>
  <c r="C129" i="7"/>
  <c r="E78" i="7"/>
  <c r="E128" i="7"/>
  <c r="E127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G12" i="1" l="1"/>
  <c r="H15" i="1" l="1"/>
  <c r="I15" i="1"/>
  <c r="E9" i="8" l="1"/>
  <c r="G42" i="5"/>
  <c r="G43" i="5"/>
  <c r="G44" i="5"/>
  <c r="F42" i="5"/>
  <c r="F43" i="5"/>
  <c r="F44" i="5"/>
  <c r="H16" i="1"/>
  <c r="I16" i="1"/>
  <c r="H56" i="3" l="1"/>
  <c r="H97" i="3"/>
  <c r="H47" i="3"/>
  <c r="I78" i="3"/>
  <c r="I69" i="3"/>
  <c r="I57" i="3"/>
  <c r="H11" i="3"/>
  <c r="H46" i="3" l="1"/>
  <c r="K100" i="3"/>
  <c r="J100" i="3"/>
  <c r="K32" i="3" l="1"/>
  <c r="K33" i="3"/>
  <c r="K34" i="3"/>
  <c r="J32" i="3"/>
  <c r="J33" i="3"/>
  <c r="J34" i="3"/>
  <c r="G18" i="3"/>
  <c r="G13" i="3"/>
  <c r="D11" i="5"/>
  <c r="C11" i="5"/>
  <c r="D28" i="5" l="1"/>
  <c r="C213" i="7" l="1"/>
  <c r="D205" i="7"/>
  <c r="C205" i="7"/>
  <c r="D196" i="7"/>
  <c r="C196" i="7"/>
  <c r="E212" i="7"/>
  <c r="D213" i="7"/>
  <c r="E211" i="7"/>
  <c r="E202" i="7"/>
  <c r="E203" i="7"/>
  <c r="E204" i="7"/>
  <c r="E91" i="7"/>
  <c r="E213" i="7" l="1"/>
  <c r="E205" i="7"/>
  <c r="E98" i="7"/>
  <c r="E99" i="7"/>
  <c r="E100" i="7"/>
  <c r="E101" i="7"/>
  <c r="E102" i="7"/>
  <c r="E103" i="7"/>
  <c r="E104" i="7"/>
  <c r="E87" i="7"/>
  <c r="E88" i="7"/>
  <c r="E89" i="7"/>
  <c r="E90" i="7"/>
  <c r="E92" i="7"/>
  <c r="C45" i="7"/>
  <c r="D36" i="7"/>
  <c r="C36" i="7"/>
  <c r="E36" i="7" l="1"/>
  <c r="E105" i="7"/>
  <c r="K24" i="1"/>
  <c r="J24" i="1"/>
  <c r="K11" i="1"/>
  <c r="K13" i="1"/>
  <c r="K14" i="1"/>
  <c r="K10" i="1"/>
  <c r="J11" i="1"/>
  <c r="J13" i="1"/>
  <c r="J14" i="1"/>
  <c r="J10" i="1"/>
  <c r="G9" i="8"/>
  <c r="G10" i="8"/>
  <c r="G8" i="8"/>
  <c r="F9" i="8"/>
  <c r="F10" i="8"/>
  <c r="F8" i="8"/>
  <c r="F41" i="5"/>
  <c r="K39" i="3"/>
  <c r="K40" i="3"/>
  <c r="K38" i="3"/>
  <c r="J39" i="3"/>
  <c r="J40" i="3"/>
  <c r="J38" i="3"/>
  <c r="G41" i="5" l="1"/>
  <c r="F15" i="5" l="1"/>
  <c r="G15" i="5"/>
  <c r="G8" i="5" l="1"/>
  <c r="G9" i="5"/>
  <c r="G10" i="5"/>
  <c r="G12" i="5"/>
  <c r="G14" i="5"/>
  <c r="G16" i="5"/>
  <c r="G18" i="5"/>
  <c r="G19" i="5"/>
  <c r="G20" i="5"/>
  <c r="G21" i="5"/>
  <c r="G22" i="5"/>
  <c r="G25" i="5"/>
  <c r="G26" i="5"/>
  <c r="G27" i="5"/>
  <c r="G29" i="5"/>
  <c r="G31" i="5"/>
  <c r="G32" i="5"/>
  <c r="G33" i="5"/>
  <c r="G35" i="5"/>
  <c r="G36" i="5"/>
  <c r="G37" i="5"/>
  <c r="G38" i="5"/>
  <c r="G39" i="5"/>
  <c r="F8" i="5"/>
  <c r="F9" i="5"/>
  <c r="F10" i="5"/>
  <c r="F12" i="5"/>
  <c r="F14" i="5"/>
  <c r="F16" i="5"/>
  <c r="F18" i="5"/>
  <c r="F19" i="5"/>
  <c r="F20" i="5"/>
  <c r="F21" i="5"/>
  <c r="F22" i="5"/>
  <c r="F25" i="5"/>
  <c r="F26" i="5"/>
  <c r="F27" i="5"/>
  <c r="F29" i="5"/>
  <c r="F31" i="5"/>
  <c r="F32" i="5"/>
  <c r="F33" i="5"/>
  <c r="F35" i="5"/>
  <c r="F36" i="5"/>
  <c r="F37" i="5"/>
  <c r="F38" i="5"/>
  <c r="F39" i="5"/>
  <c r="K99" i="3"/>
  <c r="K101" i="3"/>
  <c r="K102" i="3"/>
  <c r="K103" i="3"/>
  <c r="K105" i="3"/>
  <c r="K107" i="3"/>
  <c r="K109" i="3"/>
  <c r="J99" i="3"/>
  <c r="J101" i="3"/>
  <c r="J102" i="3"/>
  <c r="J103" i="3"/>
  <c r="J105" i="3"/>
  <c r="J107" i="3"/>
  <c r="J109" i="3"/>
  <c r="K49" i="3"/>
  <c r="K50" i="3"/>
  <c r="K51" i="3"/>
  <c r="K52" i="3"/>
  <c r="K54" i="3"/>
  <c r="K55" i="3"/>
  <c r="K58" i="3"/>
  <c r="K59" i="3"/>
  <c r="K60" i="3"/>
  <c r="K61" i="3"/>
  <c r="K63" i="3"/>
  <c r="K64" i="3"/>
  <c r="K65" i="3"/>
  <c r="K66" i="3"/>
  <c r="K67" i="3"/>
  <c r="K68" i="3"/>
  <c r="K70" i="3"/>
  <c r="K71" i="3"/>
  <c r="K72" i="3"/>
  <c r="K73" i="3"/>
  <c r="K74" i="3"/>
  <c r="K75" i="3"/>
  <c r="K76" i="3"/>
  <c r="K77" i="3"/>
  <c r="K79" i="3"/>
  <c r="K80" i="3"/>
  <c r="K81" i="3"/>
  <c r="K82" i="3"/>
  <c r="K83" i="3"/>
  <c r="K84" i="3"/>
  <c r="K87" i="3"/>
  <c r="K90" i="3"/>
  <c r="K91" i="3"/>
  <c r="K94" i="3"/>
  <c r="J49" i="3"/>
  <c r="J50" i="3"/>
  <c r="J51" i="3"/>
  <c r="J52" i="3"/>
  <c r="J54" i="3"/>
  <c r="J55" i="3"/>
  <c r="J58" i="3"/>
  <c r="J59" i="3"/>
  <c r="J60" i="3"/>
  <c r="J61" i="3"/>
  <c r="J63" i="3"/>
  <c r="J64" i="3"/>
  <c r="J65" i="3"/>
  <c r="J66" i="3"/>
  <c r="J67" i="3"/>
  <c r="J68" i="3"/>
  <c r="J70" i="3"/>
  <c r="J71" i="3"/>
  <c r="J72" i="3"/>
  <c r="J73" i="3"/>
  <c r="J74" i="3"/>
  <c r="J75" i="3"/>
  <c r="J76" i="3"/>
  <c r="J77" i="3"/>
  <c r="J79" i="3"/>
  <c r="J80" i="3"/>
  <c r="J81" i="3"/>
  <c r="J82" i="3"/>
  <c r="J83" i="3"/>
  <c r="J84" i="3"/>
  <c r="J87" i="3"/>
  <c r="J90" i="3"/>
  <c r="J91" i="3"/>
  <c r="J94" i="3"/>
  <c r="K15" i="3"/>
  <c r="K16" i="3"/>
  <c r="K17" i="3"/>
  <c r="K19" i="3"/>
  <c r="K20" i="3"/>
  <c r="K23" i="3"/>
  <c r="K26" i="3"/>
  <c r="K27" i="3"/>
  <c r="K30" i="3"/>
  <c r="K31" i="3"/>
  <c r="J15" i="3"/>
  <c r="J16" i="3"/>
  <c r="J17" i="3"/>
  <c r="J19" i="3"/>
  <c r="J20" i="3"/>
  <c r="J23" i="3"/>
  <c r="J26" i="3"/>
  <c r="J27" i="3"/>
  <c r="J30" i="3"/>
  <c r="J31" i="3"/>
  <c r="E201" i="7" l="1"/>
  <c r="E195" i="7"/>
  <c r="E194" i="7"/>
  <c r="E183" i="7"/>
  <c r="E175" i="7"/>
  <c r="E167" i="7"/>
  <c r="E158" i="7"/>
  <c r="E146" i="7"/>
  <c r="E139" i="7"/>
  <c r="E138" i="7"/>
  <c r="E122" i="7"/>
  <c r="E123" i="7"/>
  <c r="E124" i="7"/>
  <c r="E125" i="7"/>
  <c r="E126" i="7"/>
  <c r="E112" i="7"/>
  <c r="E113" i="7"/>
  <c r="E111" i="7"/>
  <c r="E97" i="7"/>
  <c r="E86" i="7"/>
  <c r="E79" i="7"/>
  <c r="E77" i="7"/>
  <c r="E67" i="7"/>
  <c r="E54" i="7"/>
  <c r="E55" i="7"/>
  <c r="E56" i="7"/>
  <c r="E57" i="7"/>
  <c r="E53" i="7"/>
  <c r="E44" i="7"/>
  <c r="E11" i="7"/>
  <c r="C81" i="7" l="1"/>
  <c r="E81" i="7" l="1"/>
  <c r="E129" i="7"/>
  <c r="E114" i="7"/>
  <c r="D131" i="7"/>
  <c r="C131" i="7"/>
  <c r="D24" i="5"/>
  <c r="D30" i="5"/>
  <c r="D34" i="5"/>
  <c r="D7" i="5"/>
  <c r="E7" i="5"/>
  <c r="G7" i="5" l="1"/>
  <c r="G34" i="5"/>
  <c r="E131" i="7"/>
  <c r="D23" i="5"/>
  <c r="C28" i="5" l="1"/>
  <c r="C30" i="5" l="1"/>
  <c r="C24" i="5"/>
  <c r="C34" i="5"/>
  <c r="F34" i="5" s="1"/>
  <c r="C23" i="5" l="1"/>
  <c r="E28" i="5" l="1"/>
  <c r="G30" i="5" l="1"/>
  <c r="F30" i="5"/>
  <c r="G28" i="5"/>
  <c r="F28" i="5"/>
  <c r="G24" i="5"/>
  <c r="F24" i="5"/>
  <c r="E23" i="5"/>
  <c r="H96" i="3"/>
  <c r="I98" i="3"/>
  <c r="G98" i="3"/>
  <c r="I104" i="3"/>
  <c r="G104" i="3"/>
  <c r="I108" i="3"/>
  <c r="G108" i="3"/>
  <c r="G62" i="3"/>
  <c r="I93" i="3"/>
  <c r="G93" i="3"/>
  <c r="G92" i="3" s="1"/>
  <c r="I89" i="3"/>
  <c r="G89" i="3"/>
  <c r="G88" i="3" s="1"/>
  <c r="I86" i="3"/>
  <c r="G86" i="3"/>
  <c r="G85" i="3" s="1"/>
  <c r="G78" i="3"/>
  <c r="G69" i="3"/>
  <c r="G57" i="3"/>
  <c r="I53" i="3"/>
  <c r="I48" i="3"/>
  <c r="G48" i="3"/>
  <c r="K108" i="3" l="1"/>
  <c r="J108" i="3"/>
  <c r="I92" i="3"/>
  <c r="K93" i="3"/>
  <c r="J93" i="3"/>
  <c r="K106" i="3"/>
  <c r="J106" i="3"/>
  <c r="G23" i="5"/>
  <c r="F23" i="5"/>
  <c r="K98" i="3"/>
  <c r="J98" i="3"/>
  <c r="K104" i="3"/>
  <c r="J104" i="3"/>
  <c r="I88" i="3"/>
  <c r="K89" i="3"/>
  <c r="J89" i="3"/>
  <c r="I85" i="3"/>
  <c r="K86" i="3"/>
  <c r="J86" i="3"/>
  <c r="K78" i="3"/>
  <c r="J78" i="3"/>
  <c r="K69" i="3"/>
  <c r="J69" i="3"/>
  <c r="K62" i="3"/>
  <c r="J62" i="3"/>
  <c r="J57" i="3"/>
  <c r="K57" i="3"/>
  <c r="J53" i="3"/>
  <c r="K53" i="3"/>
  <c r="J48" i="3"/>
  <c r="K48" i="3"/>
  <c r="G97" i="3"/>
  <c r="G96" i="3" s="1"/>
  <c r="I97" i="3"/>
  <c r="I47" i="3"/>
  <c r="G56" i="3"/>
  <c r="G47" i="3"/>
  <c r="I56" i="3"/>
  <c r="K92" i="3" l="1"/>
  <c r="J92" i="3"/>
  <c r="I96" i="3"/>
  <c r="K97" i="3"/>
  <c r="J97" i="3"/>
  <c r="J88" i="3"/>
  <c r="K88" i="3"/>
  <c r="K85" i="3"/>
  <c r="J85" i="3"/>
  <c r="J56" i="3"/>
  <c r="K56" i="3"/>
  <c r="I46" i="3"/>
  <c r="I45" i="3" s="1"/>
  <c r="K47" i="3"/>
  <c r="J47" i="3"/>
  <c r="G46" i="3"/>
  <c r="G45" i="3" s="1"/>
  <c r="K96" i="3" l="1"/>
  <c r="J96" i="3"/>
  <c r="J46" i="3"/>
  <c r="K46" i="3"/>
  <c r="C7" i="5"/>
  <c r="F7" i="5" s="1"/>
  <c r="K45" i="3" l="1"/>
  <c r="J45" i="3"/>
  <c r="C13" i="5"/>
  <c r="C17" i="5"/>
  <c r="C6" i="5" l="1"/>
  <c r="D17" i="5"/>
  <c r="D13" i="5"/>
  <c r="D6" i="5" l="1"/>
  <c r="E17" i="5"/>
  <c r="F17" i="5" s="1"/>
  <c r="E13" i="5"/>
  <c r="E11" i="5"/>
  <c r="E6" i="5" l="1"/>
  <c r="F6" i="5" s="1"/>
  <c r="F13" i="5"/>
  <c r="G11" i="5"/>
  <c r="F11" i="5"/>
  <c r="G17" i="5"/>
  <c r="G13" i="5"/>
  <c r="G6" i="5" l="1"/>
  <c r="C140" i="7"/>
  <c r="D140" i="7"/>
  <c r="E140" i="7" l="1"/>
  <c r="D184" i="7"/>
  <c r="C184" i="7"/>
  <c r="D176" i="7"/>
  <c r="C176" i="7"/>
  <c r="D168" i="7"/>
  <c r="C168" i="7"/>
  <c r="D159" i="7"/>
  <c r="C159" i="7"/>
  <c r="D147" i="7"/>
  <c r="C147" i="7"/>
  <c r="D68" i="7"/>
  <c r="C68" i="7"/>
  <c r="D58" i="7"/>
  <c r="C58" i="7"/>
  <c r="D45" i="7"/>
  <c r="E159" i="7" l="1"/>
  <c r="E184" i="7"/>
  <c r="E58" i="7"/>
  <c r="E68" i="7"/>
  <c r="E168" i="7"/>
  <c r="E196" i="7"/>
  <c r="E147" i="7"/>
  <c r="E176" i="7"/>
  <c r="E45" i="7"/>
  <c r="C149" i="7"/>
  <c r="D149" i="7"/>
  <c r="E6" i="7" l="1"/>
  <c r="E149" i="7"/>
  <c r="E218" i="7" l="1"/>
  <c r="I29" i="3"/>
  <c r="I25" i="3"/>
  <c r="I22" i="3"/>
  <c r="I21" i="3" l="1"/>
  <c r="J22" i="3"/>
  <c r="K22" i="3"/>
  <c r="I24" i="3"/>
  <c r="K25" i="3"/>
  <c r="I28" i="3"/>
  <c r="K29" i="3"/>
  <c r="G28" i="3"/>
  <c r="G24" i="3"/>
  <c r="G21" i="3"/>
  <c r="I18" i="3"/>
  <c r="I14" i="3"/>
  <c r="I13" i="3" l="1"/>
  <c r="I12" i="3" s="1"/>
  <c r="I11" i="3" s="1"/>
  <c r="K14" i="3"/>
  <c r="J14" i="3"/>
  <c r="J24" i="3"/>
  <c r="K24" i="3"/>
  <c r="J25" i="3"/>
  <c r="J29" i="3"/>
  <c r="J18" i="3"/>
  <c r="K18" i="3"/>
  <c r="K28" i="3"/>
  <c r="J28" i="3"/>
  <c r="K21" i="3"/>
  <c r="J21" i="3"/>
  <c r="G12" i="3"/>
  <c r="G15" i="1"/>
  <c r="G16" i="1" s="1"/>
  <c r="K15" i="1" l="1"/>
  <c r="J15" i="1"/>
  <c r="K12" i="1"/>
  <c r="J12" i="1"/>
  <c r="K12" i="3"/>
  <c r="J12" i="3"/>
  <c r="J13" i="3"/>
  <c r="K13" i="3"/>
  <c r="J16" i="1" l="1"/>
  <c r="K16" i="1"/>
  <c r="J11" i="3"/>
  <c r="K11" i="3"/>
</calcChain>
</file>

<file path=xl/sharedStrings.xml><?xml version="1.0" encoding="utf-8"?>
<sst xmlns="http://schemas.openxmlformats.org/spreadsheetml/2006/main" count="447" uniqueCount="239">
  <si>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</si>
  <si>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</si>
  <si>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</si>
  <si>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</si>
  <si>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</si>
  <si>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</si>
  <si>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</si>
  <si>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</si>
  <si>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</si>
  <si>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</si>
  <si>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</si>
  <si>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</si>
  <si>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</si>
  <si>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</si>
  <si>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</si>
  <si>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</si>
  <si>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</si>
  <si>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</si>
  <si>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</si>
  <si>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</si>
  <si>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</si>
  <si>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</si>
  <si>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</si>
  <si>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</si>
  <si>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</si>
  <si>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</si>
  <si>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</si>
  <si>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Službena putovanja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</si>
  <si>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</si>
  <si>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</si>
  <si>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</si>
  <si>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</si>
  <si>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</si>
  <si>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</si>
  <si>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</si>
  <si>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</si>
  <si>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</si>
  <si>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</si>
  <si>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</si>
  <si>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</si>
  <si>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</si>
  <si>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</si>
  <si>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</si>
  <si>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</si>
  <si>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IZVORNI PLAN ILI REBALANS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</si>
  <si>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</si>
  <si>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</si>
  <si>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</si>
  <si>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OSTVARENJE/IZVRŠENJE 
N-1.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</si>
  <si>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</si>
  <si>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</si>
  <si>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</si>
  <si>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Pomoći proračunskim korisnicima iz proračuna koji im nije nadležan</t>
  </si>
  <si>
    <t>Tekuće pomoći proračunskim korisnicima iz proračuna koji im nije nadležan</t>
  </si>
  <si>
    <t>Tekuće pomoći iz državnog proračuna pror. korisnicima koji im nije nadležan</t>
  </si>
  <si>
    <t>Tekuće pomoći proračunskim korisnicima iz općinskog proračuna</t>
  </si>
  <si>
    <t>Kapitalne pomoći iz proračuna koji im nije nadležan</t>
  </si>
  <si>
    <t>Prijenos između proračunskih korisnika istog proračuna</t>
  </si>
  <si>
    <t>Tekući prijenosi između korisnika istog proračuna</t>
  </si>
  <si>
    <t>Tek.prijenosi između pror. Kor. Istog proračuna tem. Prijenosa EU sredstava</t>
  </si>
  <si>
    <t>Prihodi od upravnih i administrativnih pristojbi, 
pristojbi po posebnim propisima i naknada</t>
  </si>
  <si>
    <t>Prihodi po posebnim propisima</t>
  </si>
  <si>
    <t>Ostali nespomenuti prihodi</t>
  </si>
  <si>
    <t>Prihodi od prodaje proizvodai robe te pruženih usluga, prihodi od donacija</t>
  </si>
  <si>
    <t>Prihodi od prodaje proizvodai robe te pruženih usluga</t>
  </si>
  <si>
    <t>Prihodi od pruženih usluga</t>
  </si>
  <si>
    <t>Donacije od pravnih i fizičkih osoba izvan opće države</t>
  </si>
  <si>
    <t>Prihodi iz nadležnog proračuna i od HZZO-a
temeljem ugovornih obveza</t>
  </si>
  <si>
    <t>Prihodi iz nadležnog proračuna za financiranje
redovne djelatnosti proračunskih korisnika</t>
  </si>
  <si>
    <t>Prihodi iz nadležnog proračuna za financiranje
rashoda poslovanja</t>
  </si>
  <si>
    <t>Prihodi iz nadležnog proračuna za financiranje
rashoda za nabavu nefinancijske imovine</t>
  </si>
  <si>
    <t>Osnovno školstvo- standard</t>
  </si>
  <si>
    <t>A2202-01</t>
  </si>
  <si>
    <t>Djelatnost osnovnih škola</t>
  </si>
  <si>
    <t>Izvor financiranja: F.P i dod. udio u por. na dohodak</t>
  </si>
  <si>
    <t>Račun rashoda/ izdatka</t>
  </si>
  <si>
    <t>Naziv računa</t>
  </si>
  <si>
    <t>Stručno usavršavanje zaposlenika</t>
  </si>
  <si>
    <t>Ostale naknade troškova zaposlenima</t>
  </si>
  <si>
    <t>Uredski materijal i ostali mat. rashodi</t>
  </si>
  <si>
    <t>Materijal i sirovine</t>
  </si>
  <si>
    <t>El. energija</t>
  </si>
  <si>
    <t>Plin</t>
  </si>
  <si>
    <t>Materijal i dijelovi za tekuće i inv. održavanje</t>
  </si>
  <si>
    <t>Sitni inventar</t>
  </si>
  <si>
    <t>Usluge telefona, pošte i prijevoza</t>
  </si>
  <si>
    <t>Usluge tekućeg i inv. održavanja</t>
  </si>
  <si>
    <t>Usluge promidžbe i informiranja</t>
  </si>
  <si>
    <t>Komunalne usluge</t>
  </si>
  <si>
    <t>Prijevoz učenika osnovnih škola</t>
  </si>
  <si>
    <t>Ostale 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</si>
  <si>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</si>
  <si>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</si>
  <si>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</si>
  <si>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</si>
  <si>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</si>
  <si>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Članarine</t>
  </si>
  <si>
    <t>Ostali nespomenuti rashodi poslovanja</t>
  </si>
  <si>
    <t>Ukupno:</t>
  </si>
  <si>
    <t>Izvor financiranja: F.P. i dod. udio u por.na dohodak</t>
  </si>
  <si>
    <t>Dodatna ulaganja na građevinskim objektima</t>
  </si>
  <si>
    <t>UKUPNO:</t>
  </si>
  <si>
    <t>T2202-03</t>
  </si>
  <si>
    <t>Hitne intervencije u osnovnim školama</t>
  </si>
  <si>
    <t>Intelektualne usluge</t>
  </si>
  <si>
    <t>Uredska oprema i namještaj</t>
  </si>
  <si>
    <t>A2202-04</t>
  </si>
  <si>
    <t>Administracija i upravljanje</t>
  </si>
  <si>
    <t>Izvor financiranja: Državni proračun</t>
  </si>
  <si>
    <t>Ostali rashodi za zaposlene</t>
  </si>
  <si>
    <t>Doprinosi na plaće</t>
  </si>
  <si>
    <t>Prijevoz na posao i s posla</t>
  </si>
  <si>
    <t>Novčana nakn. zbog nezapoš.osob. s inv.</t>
  </si>
  <si>
    <t>Osnovno školstvo-  iznad standarda</t>
  </si>
  <si>
    <t>A2203-01</t>
  </si>
  <si>
    <t>Javne potrebe u prosvjeti</t>
  </si>
  <si>
    <t>Izvor financiranja: Opći prihodi i primici</t>
  </si>
  <si>
    <t>Ostali nespomenuti rashodi</t>
  </si>
  <si>
    <t>A2203-04</t>
  </si>
  <si>
    <t>Podizanje kvalitete i standarda u školstvu</t>
  </si>
  <si>
    <t>Knjige</t>
  </si>
  <si>
    <t>Troškovi sudskih postupaka</t>
  </si>
  <si>
    <t xml:space="preserve">Izvor financiranja: Višak prihoda </t>
  </si>
  <si>
    <t>Usluge tekućeg i inv. održavanja opr.</t>
  </si>
  <si>
    <t>Uredski materijal i ostali mat.rashodi</t>
  </si>
  <si>
    <t>Zakupnine i najamnine</t>
  </si>
  <si>
    <t>Uređaji, strojevi i oprema za ostale namjene</t>
  </si>
  <si>
    <t xml:space="preserve">Izvor financiranja: Vlastiti prihodi </t>
  </si>
  <si>
    <t>Usluge tekućeg i inv. Održavanja opr.</t>
  </si>
  <si>
    <t xml:space="preserve">Izvor financiranja: Prihodi za posebne namjene </t>
  </si>
  <si>
    <t>Izvor financiranja: Proračun JLS</t>
  </si>
  <si>
    <t>Reprezentacija</t>
  </si>
  <si>
    <t>Ostale naknade iz proračuna u naravi</t>
  </si>
  <si>
    <t>A2203-06</t>
  </si>
  <si>
    <t>Školska kuhinja i kantina</t>
  </si>
  <si>
    <t>Izvor financiranja: Višak /manjak prihoda korisnici</t>
  </si>
  <si>
    <t>Uredski namještaj</t>
  </si>
  <si>
    <t>Izvor financiranja: Prihodi za posebne namjene</t>
  </si>
  <si>
    <t>Namirnice</t>
  </si>
  <si>
    <t>A2203-27</t>
  </si>
  <si>
    <t>Udžbenici</t>
  </si>
  <si>
    <t>A2203-31</t>
  </si>
  <si>
    <t>Projekt e-škole</t>
  </si>
  <si>
    <t>A2203-33</t>
  </si>
  <si>
    <t>Prehrana za učenike</t>
  </si>
  <si>
    <t>A2203-34</t>
  </si>
  <si>
    <t>Zalihe menstrualnih higijenskih potrepština</t>
  </si>
  <si>
    <t>Mat.za hig.potrebe i njegu</t>
  </si>
  <si>
    <t>Nacionalni EU projekti</t>
  </si>
  <si>
    <t>T4306-03</t>
  </si>
  <si>
    <t>Izvor financiranja: Predfinanciranje iz Županije</t>
  </si>
  <si>
    <t>Doprinosi za obvezno zdravstveno osiguranje</t>
  </si>
  <si>
    <t>Doprinosi za OZO</t>
  </si>
  <si>
    <t>Uredski materijal i ostali materijalni rashodi</t>
  </si>
  <si>
    <t>19 Predfinanciranje iz ŽP</t>
  </si>
  <si>
    <t>4 Prihodi za posebne namjene</t>
  </si>
  <si>
    <t>41 Prihodi za posebne namjene</t>
  </si>
  <si>
    <t>42 Višak/manjak prihoda korisnici</t>
  </si>
  <si>
    <t>45 F.P. i dod. udio u por. na dohodak</t>
  </si>
  <si>
    <t>5 Pomoći</t>
  </si>
  <si>
    <t>51 Državni proračun</t>
  </si>
  <si>
    <t>53 Proračun JLS</t>
  </si>
  <si>
    <t>54 Pomoći iz inozemstva</t>
  </si>
  <si>
    <t>6 Donacije</t>
  </si>
  <si>
    <t>61 Donacije</t>
  </si>
  <si>
    <t>12 Višak/manjak prihoda-ZŽ</t>
  </si>
  <si>
    <t xml:space="preserve">UKUPNO RASHODI </t>
  </si>
  <si>
    <t>09 Obrazovanje</t>
  </si>
  <si>
    <t xml:space="preserve">091 Predškolsko i osnovno obrazovanje </t>
  </si>
  <si>
    <t>096 Dodatne usluge u obrazovanju</t>
  </si>
  <si>
    <t>Ostali rashodi</t>
  </si>
  <si>
    <t>3212</t>
  </si>
  <si>
    <t>3221</t>
  </si>
  <si>
    <t>3222</t>
  </si>
  <si>
    <t>Plaće za prekovremeni rad</t>
  </si>
  <si>
    <t>Plaće za posebne uvjete rada</t>
  </si>
  <si>
    <t>Doprinosi za obvezno osiguranje u slučaju nezaposlenosti</t>
  </si>
  <si>
    <t>Naknada troškova zaposlenima</t>
  </si>
  <si>
    <t>Naknada za prijevoz, za rad na terenu i odvojeni život</t>
  </si>
  <si>
    <t>Rashodi za materijal i energiju</t>
  </si>
  <si>
    <t>Energija</t>
  </si>
  <si>
    <t>Sitni inventar i auto gume</t>
  </si>
  <si>
    <t>Rashodi za usluge</t>
  </si>
  <si>
    <t>Usluge tekućeg i investicijskog održavanja</t>
  </si>
  <si>
    <t>Intelektulne i osobne usluge</t>
  </si>
  <si>
    <t>Članarine i norme</t>
  </si>
  <si>
    <t>Pristojbe i naknade</t>
  </si>
  <si>
    <t>Financijski rashodi</t>
  </si>
  <si>
    <t>Ostali financijski rashodi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</si>
  <si>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</si>
  <si>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</si>
  <si>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</si>
  <si>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</si>
  <si>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kućanstvina u naravi</t>
  </si>
  <si>
    <t>Tekuće donacije</t>
  </si>
  <si>
    <t>Tekuće donacije u naravi</t>
  </si>
  <si>
    <t>Službena, radna i zaštitna odjeća i obuća</t>
  </si>
  <si>
    <t>Rashodi za nabavu proizvedene dugotrajne imovine</t>
  </si>
  <si>
    <t>Postrojenja i oprema</t>
  </si>
  <si>
    <t>Medicinska i labaratorijska oprema</t>
  </si>
  <si>
    <t>Sportsak i glazbena oprema</t>
  </si>
  <si>
    <t>Knjige, umjetnička djela i ostale izložbene vrijednosti</t>
  </si>
  <si>
    <t>Nematerijalna proizvedena imovina</t>
  </si>
  <si>
    <t>Ostala nematerijlana proizvedena imovina</t>
  </si>
  <si>
    <t>Rashodi za dodatna ulaganja na nefinancijskoj imovini</t>
  </si>
  <si>
    <t>Indeks (4=3/2*100)</t>
  </si>
  <si>
    <t>5=4/2*100</t>
  </si>
  <si>
    <t>6=4/3*100</t>
  </si>
  <si>
    <t>VIŠAK PRIHODA KORIŠTEN ZA POKRIĆE RASHODA</t>
  </si>
  <si>
    <t xml:space="preserve">   9  Rezultat</t>
  </si>
  <si>
    <t xml:space="preserve">   93 Vlastiti prihodi- višak</t>
  </si>
  <si>
    <t>POKRIVENI MANJAK</t>
  </si>
  <si>
    <r>
      <t xml:space="preserve">   </t>
    </r>
    <r>
      <rPr>
        <i/>
        <sz val="12"/>
        <color theme="1"/>
        <rFont val="Times New Roman"/>
        <family val="1"/>
        <charset val="238"/>
      </rPr>
      <t>94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Prihodi za posebne namjene- višak</t>
    </r>
  </si>
  <si>
    <t xml:space="preserve">OSTVARENJE/IZVRŠENJE 
2024. </t>
  </si>
  <si>
    <t>Izvorni plan 2024.</t>
  </si>
  <si>
    <t xml:space="preserve">Izvršenje 2024.                </t>
  </si>
  <si>
    <t>Službena radna i zaštitna odjeća i obuća</t>
  </si>
  <si>
    <t>Bankarske usluge i usl.platnog prometa</t>
  </si>
  <si>
    <t>Računala i računalna oprema</t>
  </si>
  <si>
    <t>Izvor financiranja: Višak/ manjak prihoda- ZŽ</t>
  </si>
  <si>
    <t>Kazne, upravne mjere i ostali prihodi</t>
  </si>
  <si>
    <t>Ostali prihodi</t>
  </si>
  <si>
    <t>Oprema za održavanje i zaštitu</t>
  </si>
  <si>
    <t xml:space="preserve">    91 Opći prihodi i primici- višak</t>
  </si>
  <si>
    <t>IZVRŠENJE FINANCIJSKOG PLANA PRORAČUNSKOG KORISNIKA DRŽAVNOG PRORAČUNA
ZA RAZDOBLJE OD 01.01. DO 30.06.2025. GODINU</t>
  </si>
  <si>
    <t>IZVORNI PLAN ILI REBALANS 2025.</t>
  </si>
  <si>
    <t xml:space="preserve">OSTVARENJE/IZVRŠENJE 
2025. </t>
  </si>
  <si>
    <t>Izvorni plan 2025.</t>
  </si>
  <si>
    <t xml:space="preserve">Izvršenje 2025.                </t>
  </si>
  <si>
    <t>Sportska oprema</t>
  </si>
  <si>
    <t>Sufinanciranje cijene prijevoza</t>
  </si>
  <si>
    <t>EU Projekt: Inkluzija - korak bliže društvu bez prepreka faza V.</t>
  </si>
  <si>
    <t xml:space="preserve">Plaće za redovan rad ŽP </t>
  </si>
  <si>
    <t xml:space="preserve">Doprinosi na plaće OZO-ŽP </t>
  </si>
  <si>
    <t xml:space="preserve">Naaknada za prijevoz </t>
  </si>
  <si>
    <t>Doprinosi na plaće OZO-ŽP 2025</t>
  </si>
  <si>
    <t>Plaće za redovan rad ŽP  2025</t>
  </si>
  <si>
    <t xml:space="preserve">Plaće za redovan rad VPP </t>
  </si>
  <si>
    <t>Doprinos na plaće OZO- VPP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</si>
</sst>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b/>
      <i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4"/>
      <color theme="1"/>
      <name val="Times New Roman"/>
      <family val="1"/>
    </font>
    <font>
      <sz val="10"/>
      <name val="Arial"/>
      <family val="2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25" fillId="4" borderId="7" applyNumberFormat="0" applyFont="0" applyAlignment="0" applyProtection="0"/>
    <xf numFmtId="0" fontId="7" fillId="0" borderId="0"/>
    <xf numFmtId="0" fontId="7" fillId="0" borderId="0"/>
    <xf numFmtId="0" fontId="37" fillId="0" borderId="0"/>
    <xf numFmtId="0" fontId="25" fillId="0" borderId="0"/>
  </cellStyleXfs>
  <cellXfs count="348">
    <xf numFmtId="0" fontId="0" fillId="0" borderId="0" xfId="0"/>
    <xf numFmtId="0" fontId="3" fillId="0" borderId="0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7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6" fillId="0" borderId="3" xfId="0" applyFont="1" applyBorder="1"/>
    <xf numFmtId="0" fontId="16" fillId="0" borderId="3" xfId="0" applyFont="1" applyBorder="1" applyAlignment="1">
      <alignment wrapText="1"/>
    </xf>
    <xf numFmtId="0" fontId="17" fillId="0" borderId="3" xfId="0" applyFont="1" applyBorder="1"/>
    <xf numFmtId="0" fontId="17" fillId="0" borderId="3" xfId="0" applyFont="1" applyBorder="1" applyAlignment="1">
      <alignment wrapText="1"/>
    </xf>
    <xf numFmtId="0" fontId="18" fillId="2" borderId="3" xfId="0" quotePrefix="1" applyFont="1" applyFill="1" applyBorder="1" applyAlignment="1">
      <alignment horizontal="left" vertical="center"/>
    </xf>
    <xf numFmtId="0" fontId="18" fillId="2" borderId="3" xfId="0" quotePrefix="1" applyFont="1" applyFill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20" fillId="2" borderId="3" xfId="0" applyNumberFormat="1" applyFont="1" applyFill="1" applyBorder="1" applyAlignment="1"/>
    <xf numFmtId="4" fontId="21" fillId="2" borderId="3" xfId="0" applyNumberFormat="1" applyFont="1" applyFill="1" applyBorder="1" applyAlignment="1">
      <alignment horizontal="right"/>
    </xf>
    <xf numFmtId="4" fontId="22" fillId="0" borderId="3" xfId="0" applyNumberFormat="1" applyFont="1" applyBorder="1"/>
    <xf numFmtId="0" fontId="23" fillId="2" borderId="3" xfId="0" quotePrefix="1" applyFont="1" applyFill="1" applyBorder="1" applyAlignment="1">
      <alignment horizontal="left" vertical="center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4" fontId="24" fillId="2" borderId="3" xfId="0" applyNumberFormat="1" applyFont="1" applyFill="1" applyBorder="1" applyAlignment="1" applyProtection="1">
      <alignment vertical="center" wrapText="1"/>
    </xf>
    <xf numFmtId="3" fontId="27" fillId="0" borderId="0" xfId="3" applyNumberFormat="1" applyFont="1" applyAlignment="1">
      <alignment horizontal="center" vertical="center"/>
    </xf>
    <xf numFmtId="4" fontId="27" fillId="0" borderId="0" xfId="3" applyNumberFormat="1" applyFont="1" applyAlignment="1">
      <alignment horizontal="center" vertical="center"/>
    </xf>
    <xf numFmtId="0" fontId="28" fillId="0" borderId="3" xfId="3" applyNumberFormat="1" applyFont="1" applyBorder="1" applyAlignment="1">
      <alignment vertical="center" wrapText="1"/>
    </xf>
    <xf numFmtId="0" fontId="28" fillId="0" borderId="3" xfId="3" applyNumberFormat="1" applyFont="1" applyBorder="1" applyAlignment="1">
      <alignment vertical="center"/>
    </xf>
    <xf numFmtId="3" fontId="28" fillId="0" borderId="3" xfId="3" applyNumberFormat="1" applyFont="1" applyBorder="1" applyAlignment="1">
      <alignment horizontal="center" vertical="center" wrapText="1"/>
    </xf>
    <xf numFmtId="4" fontId="28" fillId="0" borderId="3" xfId="3" quotePrefix="1" applyNumberFormat="1" applyFont="1" applyBorder="1" applyAlignment="1">
      <alignment horizontal="center" vertical="center" wrapText="1"/>
    </xf>
    <xf numFmtId="0" fontId="29" fillId="0" borderId="3" xfId="3" applyNumberFormat="1" applyFont="1" applyBorder="1" applyAlignment="1">
      <alignment horizontal="center" vertical="center" wrapText="1"/>
    </xf>
    <xf numFmtId="0" fontId="29" fillId="0" borderId="3" xfId="3" applyNumberFormat="1" applyFont="1" applyBorder="1" applyAlignment="1">
      <alignment horizontal="center" vertical="center"/>
    </xf>
    <xf numFmtId="3" fontId="29" fillId="0" borderId="3" xfId="3" applyNumberFormat="1" applyFont="1" applyBorder="1" applyAlignment="1">
      <alignment horizontal="center" vertical="center" wrapText="1"/>
    </xf>
    <xf numFmtId="49" fontId="29" fillId="0" borderId="3" xfId="3" applyNumberFormat="1" applyFont="1" applyBorder="1" applyAlignment="1">
      <alignment horizontal="center" vertical="center" wrapText="1"/>
    </xf>
    <xf numFmtId="0" fontId="30" fillId="0" borderId="3" xfId="3" quotePrefix="1" applyNumberFormat="1" applyFont="1" applyBorder="1" applyAlignment="1">
      <alignment horizontal="left"/>
    </xf>
    <xf numFmtId="0" fontId="30" fillId="0" borderId="3" xfId="3" applyNumberFormat="1" applyFont="1" applyBorder="1" applyAlignment="1">
      <alignment vertical="center"/>
    </xf>
    <xf numFmtId="4" fontId="30" fillId="0" borderId="3" xfId="3" quotePrefix="1" applyNumberFormat="1" applyFont="1" applyBorder="1" applyAlignment="1">
      <alignment vertical="center"/>
    </xf>
    <xf numFmtId="0" fontId="31" fillId="0" borderId="3" xfId="0" applyFont="1" applyBorder="1" applyAlignment="1">
      <alignment horizontal="left"/>
    </xf>
    <xf numFmtId="0" fontId="31" fillId="0" borderId="3" xfId="0" applyFont="1" applyBorder="1"/>
    <xf numFmtId="4" fontId="31" fillId="0" borderId="3" xfId="0" applyNumberFormat="1" applyFont="1" applyBorder="1"/>
    <xf numFmtId="4" fontId="31" fillId="0" borderId="3" xfId="0" applyNumberFormat="1" applyFont="1" applyBorder="1" applyAlignment="1">
      <alignment horizontal="center"/>
    </xf>
    <xf numFmtId="0" fontId="32" fillId="0" borderId="3" xfId="0" applyFont="1" applyBorder="1" applyAlignment="1">
      <alignment horizontal="left"/>
    </xf>
    <xf numFmtId="4" fontId="32" fillId="0" borderId="3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4" fontId="0" fillId="0" borderId="0" xfId="0" applyNumberFormat="1" applyBorder="1"/>
    <xf numFmtId="4" fontId="0" fillId="0" borderId="0" xfId="0" applyNumberFormat="1"/>
    <xf numFmtId="4" fontId="34" fillId="0" borderId="0" xfId="0" applyNumberFormat="1" applyFont="1"/>
    <xf numFmtId="0" fontId="16" fillId="0" borderId="0" xfId="0" applyFont="1" applyAlignment="1">
      <alignment horizontal="left"/>
    </xf>
    <xf numFmtId="0" fontId="34" fillId="0" borderId="0" xfId="0" applyFont="1"/>
    <xf numFmtId="0" fontId="35" fillId="0" borderId="3" xfId="3" applyNumberFormat="1" applyFont="1" applyBorder="1" applyAlignment="1">
      <alignment vertical="center" wrapText="1"/>
    </xf>
    <xf numFmtId="0" fontId="31" fillId="0" borderId="3" xfId="0" applyFont="1" applyBorder="1" applyAlignment="1">
      <alignment wrapText="1"/>
    </xf>
    <xf numFmtId="0" fontId="32" fillId="0" borderId="3" xfId="0" applyFont="1" applyBorder="1"/>
    <xf numFmtId="0" fontId="32" fillId="0" borderId="0" xfId="0" applyFont="1" applyBorder="1" applyAlignment="1">
      <alignment horizontal="left"/>
    </xf>
    <xf numFmtId="0" fontId="32" fillId="0" borderId="0" xfId="0" applyFont="1" applyBorder="1"/>
    <xf numFmtId="4" fontId="32" fillId="0" borderId="0" xfId="0" applyNumberFormat="1" applyFont="1" applyBorder="1"/>
    <xf numFmtId="0" fontId="30" fillId="0" borderId="3" xfId="3" applyNumberFormat="1" applyFont="1" applyBorder="1" applyAlignment="1">
      <alignment horizontal="left" vertical="center" wrapText="1"/>
    </xf>
    <xf numFmtId="4" fontId="30" fillId="0" borderId="3" xfId="3" applyNumberFormat="1" applyFont="1" applyBorder="1" applyAlignment="1">
      <alignment horizontal="right" vertical="center" wrapText="1"/>
    </xf>
    <xf numFmtId="0" fontId="30" fillId="0" borderId="3" xfId="4" applyFont="1" applyBorder="1" applyAlignment="1">
      <alignment horizontal="center" vertical="center"/>
    </xf>
    <xf numFmtId="0" fontId="30" fillId="0" borderId="3" xfId="4" applyFont="1" applyBorder="1" applyAlignment="1">
      <alignment horizontal="left" vertical="center" wrapText="1"/>
    </xf>
    <xf numFmtId="4" fontId="28" fillId="0" borderId="3" xfId="0" applyNumberFormat="1" applyFont="1" applyBorder="1"/>
    <xf numFmtId="4" fontId="30" fillId="0" borderId="0" xfId="3" applyNumberFormat="1" applyFont="1" applyBorder="1" applyAlignment="1">
      <alignment horizontal="right" vertical="center" wrapText="1"/>
    </xf>
    <xf numFmtId="0" fontId="34" fillId="0" borderId="0" xfId="0" applyFont="1" applyAlignment="1">
      <alignment horizontal="left"/>
    </xf>
    <xf numFmtId="0" fontId="29" fillId="0" borderId="3" xfId="3" applyNumberFormat="1" applyFont="1" applyBorder="1" applyAlignment="1">
      <alignment vertical="center" wrapText="1"/>
    </xf>
    <xf numFmtId="4" fontId="31" fillId="0" borderId="3" xfId="0" applyNumberFormat="1" applyFont="1" applyBorder="1" applyAlignment="1">
      <alignment horizontal="right"/>
    </xf>
    <xf numFmtId="4" fontId="31" fillId="2" borderId="3" xfId="0" applyNumberFormat="1" applyFont="1" applyFill="1" applyBorder="1"/>
    <xf numFmtId="0" fontId="31" fillId="0" borderId="0" xfId="0" applyFont="1" applyFill="1" applyBorder="1" applyAlignment="1">
      <alignment horizontal="left"/>
    </xf>
    <xf numFmtId="0" fontId="31" fillId="0" borderId="0" xfId="0" applyFont="1" applyBorder="1"/>
    <xf numFmtId="4" fontId="31" fillId="0" borderId="0" xfId="0" applyNumberFormat="1" applyFont="1" applyBorder="1"/>
    <xf numFmtId="4" fontId="31" fillId="2" borderId="3" xfId="0" applyNumberFormat="1" applyFont="1" applyFill="1" applyBorder="1" applyAlignment="1">
      <alignment horizontal="right"/>
    </xf>
    <xf numFmtId="0" fontId="31" fillId="0" borderId="0" xfId="0" applyFont="1" applyBorder="1" applyAlignment="1">
      <alignment horizontal="left"/>
    </xf>
    <xf numFmtId="0" fontId="31" fillId="0" borderId="0" xfId="0" applyFont="1" applyFill="1" applyBorder="1"/>
    <xf numFmtId="0" fontId="34" fillId="0" borderId="0" xfId="0" applyFont="1" applyBorder="1"/>
    <xf numFmtId="0" fontId="37" fillId="0" borderId="0" xfId="5"/>
    <xf numFmtId="4" fontId="30" fillId="0" borderId="3" xfId="3" applyNumberFormat="1" applyFont="1" applyBorder="1" applyAlignment="1">
      <alignment horizontal="center" vertical="center" wrapText="1"/>
    </xf>
    <xf numFmtId="0" fontId="5" fillId="3" borderId="17" xfId="0" applyNumberFormat="1" applyFont="1" applyFill="1" applyBorder="1" applyAlignment="1" applyProtection="1">
      <alignment horizontal="center" vertical="center" wrapText="1"/>
    </xf>
    <xf numFmtId="0" fontId="14" fillId="3" borderId="17" xfId="0" applyNumberFormat="1" applyFont="1" applyFill="1" applyBorder="1" applyAlignment="1" applyProtection="1">
      <alignment horizontal="center" vertical="center" wrapText="1"/>
    </xf>
    <xf numFmtId="0" fontId="23" fillId="2" borderId="18" xfId="0" applyNumberFormat="1" applyFont="1" applyFill="1" applyBorder="1" applyAlignment="1" applyProtection="1">
      <alignment horizontal="left" vertical="center" wrapText="1"/>
    </xf>
    <xf numFmtId="4" fontId="0" fillId="0" borderId="17" xfId="0" applyNumberFormat="1" applyBorder="1"/>
    <xf numFmtId="0" fontId="24" fillId="2" borderId="18" xfId="0" quotePrefix="1" applyFont="1" applyFill="1" applyBorder="1" applyAlignment="1">
      <alignment horizontal="left" vertical="center"/>
    </xf>
    <xf numFmtId="0" fontId="22" fillId="0" borderId="3" xfId="0" applyFont="1" applyBorder="1"/>
    <xf numFmtId="0" fontId="38" fillId="0" borderId="0" xfId="0" applyFont="1"/>
    <xf numFmtId="0" fontId="23" fillId="2" borderId="18" xfId="0" applyNumberFormat="1" applyFont="1" applyFill="1" applyBorder="1" applyAlignment="1" applyProtection="1">
      <alignment horizontal="right" vertical="center" wrapText="1"/>
    </xf>
    <xf numFmtId="0" fontId="23" fillId="2" borderId="3" xfId="0" applyNumberFormat="1" applyFont="1" applyFill="1" applyBorder="1" applyAlignment="1" applyProtection="1">
      <alignment horizontal="right" vertical="center" wrapText="1"/>
    </xf>
    <xf numFmtId="0" fontId="19" fillId="2" borderId="3" xfId="0" applyNumberFormat="1" applyFont="1" applyFill="1" applyBorder="1" applyAlignment="1" applyProtection="1">
      <alignment horizontal="right" vertical="center" wrapText="1"/>
    </xf>
    <xf numFmtId="0" fontId="24" fillId="2" borderId="3" xfId="0" applyNumberFormat="1" applyFont="1" applyFill="1" applyBorder="1" applyAlignment="1" applyProtection="1">
      <alignment horizontal="right" vertical="center" wrapText="1"/>
    </xf>
    <xf numFmtId="0" fontId="18" fillId="2" borderId="3" xfId="0" applyNumberFormat="1" applyFont="1" applyFill="1" applyBorder="1" applyAlignment="1" applyProtection="1">
      <alignment horizontal="right" vertical="center" wrapText="1"/>
    </xf>
    <xf numFmtId="0" fontId="24" fillId="2" borderId="18" xfId="0" quotePrefix="1" applyFont="1" applyFill="1" applyBorder="1" applyAlignment="1">
      <alignment horizontal="right" vertical="center"/>
    </xf>
    <xf numFmtId="0" fontId="24" fillId="2" borderId="3" xfId="0" quotePrefix="1" applyFont="1" applyFill="1" applyBorder="1" applyAlignment="1">
      <alignment horizontal="right" vertical="center"/>
    </xf>
    <xf numFmtId="0" fontId="23" fillId="2" borderId="3" xfId="0" quotePrefix="1" applyFont="1" applyFill="1" applyBorder="1" applyAlignment="1">
      <alignment horizontal="right" vertical="center"/>
    </xf>
    <xf numFmtId="0" fontId="18" fillId="2" borderId="3" xfId="0" quotePrefix="1" applyFont="1" applyFill="1" applyBorder="1" applyAlignment="1">
      <alignment horizontal="right" vertical="center"/>
    </xf>
    <xf numFmtId="0" fontId="19" fillId="2" borderId="3" xfId="0" quotePrefix="1" applyFont="1" applyFill="1" applyBorder="1" applyAlignment="1">
      <alignment horizontal="right" vertical="center"/>
    </xf>
    <xf numFmtId="4" fontId="20" fillId="2" borderId="3" xfId="0" applyNumberFormat="1" applyFont="1" applyFill="1" applyBorder="1" applyAlignment="1">
      <alignment horizontal="right"/>
    </xf>
    <xf numFmtId="4" fontId="39" fillId="0" borderId="3" xfId="0" applyNumberFormat="1" applyFont="1" applyBorder="1"/>
    <xf numFmtId="0" fontId="23" fillId="2" borderId="18" xfId="0" applyFont="1" applyFill="1" applyBorder="1" applyAlignment="1">
      <alignment horizontal="right" vertical="center"/>
    </xf>
    <xf numFmtId="0" fontId="23" fillId="2" borderId="3" xfId="0" applyNumberFormat="1" applyFont="1" applyFill="1" applyBorder="1" applyAlignment="1" applyProtection="1">
      <alignment horizontal="right" vertical="center"/>
    </xf>
    <xf numFmtId="0" fontId="19" fillId="2" borderId="3" xfId="0" applyNumberFormat="1" applyFont="1" applyFill="1" applyBorder="1" applyAlignment="1" applyProtection="1">
      <alignment horizontal="right" vertical="center"/>
    </xf>
    <xf numFmtId="0" fontId="23" fillId="2" borderId="3" xfId="0" applyNumberFormat="1" applyFont="1" applyFill="1" applyBorder="1" applyAlignment="1" applyProtection="1">
      <alignment vertical="center" wrapText="1"/>
    </xf>
    <xf numFmtId="0" fontId="24" fillId="2" borderId="18" xfId="0" applyNumberFormat="1" applyFont="1" applyFill="1" applyBorder="1" applyAlignment="1" applyProtection="1">
      <alignment horizontal="right" vertical="center" wrapText="1"/>
    </xf>
    <xf numFmtId="0" fontId="18" fillId="2" borderId="3" xfId="0" applyNumberFormat="1" applyFont="1" applyFill="1" applyBorder="1" applyAlignment="1" applyProtection="1">
      <alignment vertical="center" wrapText="1"/>
    </xf>
    <xf numFmtId="0" fontId="24" fillId="2" borderId="20" xfId="0" applyNumberFormat="1" applyFont="1" applyFill="1" applyBorder="1" applyAlignment="1" applyProtection="1">
      <alignment horizontal="right" vertical="center" wrapText="1"/>
    </xf>
    <xf numFmtId="0" fontId="24" fillId="2" borderId="21" xfId="0" applyNumberFormat="1" applyFont="1" applyFill="1" applyBorder="1" applyAlignment="1" applyProtection="1">
      <alignment horizontal="right" vertical="center" wrapText="1"/>
    </xf>
    <xf numFmtId="0" fontId="18" fillId="2" borderId="21" xfId="0" quotePrefix="1" applyFont="1" applyFill="1" applyBorder="1" applyAlignment="1">
      <alignment horizontal="right" vertical="center"/>
    </xf>
    <xf numFmtId="0" fontId="18" fillId="2" borderId="21" xfId="0" quotePrefix="1" applyFont="1" applyFill="1" applyBorder="1" applyAlignment="1">
      <alignment horizontal="left" vertical="center"/>
    </xf>
    <xf numFmtId="4" fontId="21" fillId="2" borderId="21" xfId="0" applyNumberFormat="1" applyFont="1" applyFill="1" applyBorder="1" applyAlignment="1">
      <alignment horizontal="right"/>
    </xf>
    <xf numFmtId="4" fontId="22" fillId="0" borderId="21" xfId="0" applyNumberFormat="1" applyFont="1" applyBorder="1"/>
    <xf numFmtId="0" fontId="22" fillId="0" borderId="3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39" fillId="0" borderId="3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39" fillId="0" borderId="3" xfId="0" applyFont="1" applyBorder="1" applyAlignment="1">
      <alignment vertical="top" wrapText="1"/>
    </xf>
    <xf numFmtId="4" fontId="39" fillId="0" borderId="3" xfId="0" applyNumberFormat="1" applyFont="1" applyBorder="1" applyAlignment="1">
      <alignment vertical="top" wrapText="1"/>
    </xf>
    <xf numFmtId="0" fontId="17" fillId="0" borderId="3" xfId="0" applyFont="1" applyBorder="1" applyAlignment="1">
      <alignment horizontal="right" vertical="top" wrapText="1"/>
    </xf>
    <xf numFmtId="0" fontId="39" fillId="0" borderId="3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39" fillId="0" borderId="3" xfId="0" applyFont="1" applyBorder="1"/>
    <xf numFmtId="0" fontId="22" fillId="0" borderId="0" xfId="0" applyFont="1"/>
    <xf numFmtId="0" fontId="17" fillId="0" borderId="0" xfId="0" applyFont="1"/>
    <xf numFmtId="4" fontId="22" fillId="0" borderId="0" xfId="0" applyNumberFormat="1" applyFont="1"/>
    <xf numFmtId="0" fontId="17" fillId="0" borderId="3" xfId="0" applyFont="1" applyBorder="1" applyAlignment="1">
      <alignment vertical="top" wrapText="1"/>
    </xf>
    <xf numFmtId="0" fontId="39" fillId="0" borderId="3" xfId="0" applyFont="1" applyBorder="1" applyAlignment="1">
      <alignment wrapText="1"/>
    </xf>
    <xf numFmtId="4" fontId="22" fillId="0" borderId="3" xfId="0" applyNumberFormat="1" applyFont="1" applyBorder="1" applyAlignment="1">
      <alignment vertical="top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22" fillId="3" borderId="3" xfId="0" applyFont="1" applyFill="1" applyBorder="1"/>
    <xf numFmtId="0" fontId="17" fillId="3" borderId="3" xfId="0" applyFont="1" applyFill="1" applyBorder="1"/>
    <xf numFmtId="4" fontId="22" fillId="3" borderId="3" xfId="0" applyNumberFormat="1" applyFont="1" applyFill="1" applyBorder="1"/>
    <xf numFmtId="4" fontId="0" fillId="3" borderId="3" xfId="0" applyNumberFormat="1" applyFill="1" applyBorder="1"/>
    <xf numFmtId="0" fontId="18" fillId="2" borderId="3" xfId="0" quotePrefix="1" applyFont="1" applyFill="1" applyBorder="1" applyAlignment="1">
      <alignment horizontal="left" vertical="center" wrapText="1" indent="1"/>
    </xf>
    <xf numFmtId="0" fontId="18" fillId="2" borderId="3" xfId="0" applyFont="1" applyFill="1" applyBorder="1" applyAlignment="1">
      <alignment horizontal="left" vertical="center" indent="1"/>
    </xf>
    <xf numFmtId="0" fontId="18" fillId="2" borderId="3" xfId="0" applyNumberFormat="1" applyFont="1" applyFill="1" applyBorder="1" applyAlignment="1" applyProtection="1">
      <alignment horizontal="left" vertical="center" wrapText="1" indent="1"/>
    </xf>
    <xf numFmtId="4" fontId="22" fillId="2" borderId="3" xfId="0" applyNumberFormat="1" applyFont="1" applyFill="1" applyBorder="1"/>
    <xf numFmtId="4" fontId="39" fillId="2" borderId="3" xfId="0" applyNumberFormat="1" applyFont="1" applyFill="1" applyBorder="1"/>
    <xf numFmtId="0" fontId="23" fillId="2" borderId="3" xfId="0" applyNumberFormat="1" applyFont="1" applyFill="1" applyBorder="1" applyAlignment="1" applyProtection="1">
      <alignment horizontal="left" vertical="center" wrapText="1" indent="1"/>
    </xf>
    <xf numFmtId="0" fontId="23" fillId="3" borderId="3" xfId="0" applyNumberFormat="1" applyFont="1" applyFill="1" applyBorder="1" applyAlignment="1" applyProtection="1">
      <alignment horizontal="left" vertical="center" wrapText="1"/>
    </xf>
    <xf numFmtId="4" fontId="21" fillId="3" borderId="3" xfId="0" applyNumberFormat="1" applyFont="1" applyFill="1" applyBorder="1" applyAlignment="1">
      <alignment horizontal="right"/>
    </xf>
    <xf numFmtId="4" fontId="39" fillId="3" borderId="3" xfId="0" applyNumberFormat="1" applyFont="1" applyFill="1" applyBorder="1"/>
    <xf numFmtId="4" fontId="23" fillId="3" borderId="3" xfId="0" applyNumberFormat="1" applyFont="1" applyFill="1" applyBorder="1" applyAlignment="1" applyProtection="1">
      <alignment vertical="center" wrapText="1"/>
    </xf>
    <xf numFmtId="4" fontId="23" fillId="2" borderId="3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>
      <alignment horizontal="right"/>
    </xf>
    <xf numFmtId="0" fontId="23" fillId="3" borderId="18" xfId="0" applyNumberFormat="1" applyFont="1" applyFill="1" applyBorder="1" applyAlignment="1" applyProtection="1">
      <alignment horizontal="left" vertical="center" wrapText="1"/>
    </xf>
    <xf numFmtId="0" fontId="19" fillId="3" borderId="3" xfId="0" applyNumberFormat="1" applyFont="1" applyFill="1" applyBorder="1" applyAlignment="1" applyProtection="1">
      <alignment horizontal="left" vertical="center" wrapText="1"/>
    </xf>
    <xf numFmtId="0" fontId="24" fillId="3" borderId="18" xfId="0" quotePrefix="1" applyFont="1" applyFill="1" applyBorder="1" applyAlignment="1">
      <alignment horizontal="left" vertical="center"/>
    </xf>
    <xf numFmtId="0" fontId="16" fillId="3" borderId="3" xfId="0" applyFont="1" applyFill="1" applyBorder="1"/>
    <xf numFmtId="0" fontId="18" fillId="3" borderId="3" xfId="0" quotePrefix="1" applyFont="1" applyFill="1" applyBorder="1" applyAlignment="1">
      <alignment horizontal="left" vertical="center"/>
    </xf>
    <xf numFmtId="0" fontId="16" fillId="3" borderId="3" xfId="0" applyFont="1" applyFill="1" applyBorder="1" applyAlignment="1">
      <alignment wrapText="1"/>
    </xf>
    <xf numFmtId="4" fontId="20" fillId="3" borderId="3" xfId="0" applyNumberFormat="1" applyFont="1" applyFill="1" applyBorder="1" applyAlignment="1">
      <alignment horizontal="right"/>
    </xf>
    <xf numFmtId="0" fontId="31" fillId="2" borderId="3" xfId="0" applyFont="1" applyFill="1" applyBorder="1"/>
    <xf numFmtId="0" fontId="30" fillId="2" borderId="3" xfId="3" applyNumberFormat="1" applyFont="1" applyFill="1" applyBorder="1" applyAlignment="1">
      <alignment horizontal="left" vertical="center" wrapText="1"/>
    </xf>
    <xf numFmtId="4" fontId="30" fillId="2" borderId="3" xfId="3" applyNumberFormat="1" applyFont="1" applyFill="1" applyBorder="1" applyAlignment="1">
      <alignment horizontal="right" vertical="center" wrapText="1"/>
    </xf>
    <xf numFmtId="0" fontId="31" fillId="2" borderId="3" xfId="0" applyFont="1" applyFill="1" applyBorder="1" applyAlignment="1">
      <alignment horizontal="left"/>
    </xf>
    <xf numFmtId="0" fontId="35" fillId="0" borderId="3" xfId="3" applyNumberFormat="1" applyFont="1" applyBorder="1" applyAlignment="1">
      <alignment horizontal="center" vertical="center"/>
    </xf>
    <xf numFmtId="4" fontId="22" fillId="3" borderId="3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/>
    </xf>
    <xf numFmtId="4" fontId="20" fillId="3" borderId="3" xfId="0" applyNumberFormat="1" applyFont="1" applyFill="1" applyBorder="1" applyAlignment="1"/>
    <xf numFmtId="4" fontId="20" fillId="2" borderId="17" xfId="0" applyNumberFormat="1" applyFont="1" applyFill="1" applyBorder="1" applyAlignment="1">
      <alignment horizontal="right"/>
    </xf>
    <xf numFmtId="4" fontId="20" fillId="3" borderId="17" xfId="0" applyNumberFormat="1" applyFont="1" applyFill="1" applyBorder="1" applyAlignment="1">
      <alignment horizontal="right"/>
    </xf>
    <xf numFmtId="0" fontId="39" fillId="0" borderId="3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23" fillId="2" borderId="20" xfId="0" quotePrefix="1" applyFont="1" applyFill="1" applyBorder="1" applyAlignment="1">
      <alignment horizontal="left" vertical="center"/>
    </xf>
    <xf numFmtId="0" fontId="17" fillId="0" borderId="21" xfId="0" applyFont="1" applyBorder="1"/>
    <xf numFmtId="0" fontId="17" fillId="0" borderId="21" xfId="0" applyFont="1" applyBorder="1" applyAlignment="1">
      <alignment wrapText="1"/>
    </xf>
    <xf numFmtId="4" fontId="24" fillId="2" borderId="21" xfId="0" applyNumberFormat="1" applyFont="1" applyFill="1" applyBorder="1" applyAlignment="1" applyProtection="1">
      <alignment vertical="center" wrapText="1"/>
    </xf>
    <xf numFmtId="4" fontId="20" fillId="2" borderId="21" xfId="0" applyNumberFormat="1" applyFont="1" applyFill="1" applyBorder="1" applyAlignment="1"/>
    <xf numFmtId="4" fontId="20" fillId="2" borderId="22" xfId="0" applyNumberFormat="1" applyFont="1" applyFill="1" applyBorder="1" applyAlignment="1">
      <alignment horizontal="right"/>
    </xf>
    <xf numFmtId="4" fontId="24" fillId="2" borderId="3" xfId="0" applyNumberFormat="1" applyFont="1" applyFill="1" applyBorder="1"/>
    <xf numFmtId="4" fontId="17" fillId="0" borderId="3" xfId="0" applyNumberFormat="1" applyFont="1" applyBorder="1"/>
    <xf numFmtId="3" fontId="26" fillId="3" borderId="7" xfId="2" applyNumberFormat="1" applyFont="1" applyFill="1" applyAlignment="1">
      <alignment horizontal="center" vertical="center"/>
    </xf>
    <xf numFmtId="3" fontId="26" fillId="3" borderId="7" xfId="2" applyNumberFormat="1" applyFont="1" applyFill="1" applyAlignment="1">
      <alignment horizontal="left" vertical="center"/>
    </xf>
    <xf numFmtId="4" fontId="26" fillId="3" borderId="7" xfId="2" applyNumberFormat="1" applyFont="1" applyFill="1" applyAlignment="1">
      <alignment horizontal="left" vertical="center"/>
    </xf>
    <xf numFmtId="49" fontId="26" fillId="5" borderId="0" xfId="3" applyNumberFormat="1" applyFont="1" applyFill="1" applyAlignment="1">
      <alignment horizontal="center" vertical="center"/>
    </xf>
    <xf numFmtId="3" fontId="26" fillId="5" borderId="0" xfId="3" applyNumberFormat="1" applyFont="1" applyFill="1" applyAlignment="1">
      <alignment horizontal="center" vertical="center"/>
    </xf>
    <xf numFmtId="4" fontId="26" fillId="5" borderId="23" xfId="2" applyNumberFormat="1" applyFont="1" applyFill="1" applyBorder="1" applyAlignment="1">
      <alignment horizontal="left" vertical="center"/>
    </xf>
    <xf numFmtId="0" fontId="33" fillId="3" borderId="7" xfId="2" applyFont="1" applyFill="1" applyAlignment="1">
      <alignment horizontal="left"/>
    </xf>
    <xf numFmtId="0" fontId="33" fillId="3" borderId="7" xfId="2" applyFont="1" applyFill="1"/>
    <xf numFmtId="4" fontId="34" fillId="3" borderId="7" xfId="2" applyNumberFormat="1" applyFont="1" applyFill="1"/>
    <xf numFmtId="0" fontId="36" fillId="5" borderId="0" xfId="0" applyFont="1" applyFill="1" applyBorder="1" applyAlignment="1">
      <alignment horizontal="left"/>
    </xf>
    <xf numFmtId="4" fontId="36" fillId="5" borderId="0" xfId="0" applyNumberFormat="1" applyFont="1" applyFill="1" applyBorder="1"/>
    <xf numFmtId="0" fontId="33" fillId="3" borderId="3" xfId="2" applyFont="1" applyFill="1" applyBorder="1" applyAlignment="1">
      <alignment horizontal="left"/>
    </xf>
    <xf numFmtId="0" fontId="33" fillId="3" borderId="3" xfId="2" applyFont="1" applyFill="1" applyBorder="1"/>
    <xf numFmtId="4" fontId="34" fillId="3" borderId="3" xfId="0" applyNumberFormat="1" applyFont="1" applyFill="1" applyBorder="1"/>
    <xf numFmtId="0" fontId="32" fillId="3" borderId="3" xfId="0" applyFont="1" applyFill="1" applyBorder="1" applyAlignment="1">
      <alignment horizontal="left"/>
    </xf>
    <xf numFmtId="0" fontId="34" fillId="3" borderId="3" xfId="0" applyFont="1" applyFill="1" applyBorder="1"/>
    <xf numFmtId="4" fontId="32" fillId="3" borderId="3" xfId="0" applyNumberFormat="1" applyFont="1" applyFill="1" applyBorder="1"/>
    <xf numFmtId="4" fontId="31" fillId="3" borderId="3" xfId="0" applyNumberFormat="1" applyFont="1" applyFill="1" applyBorder="1" applyAlignment="1">
      <alignment horizontal="right"/>
    </xf>
    <xf numFmtId="4" fontId="34" fillId="3" borderId="0" xfId="0" applyNumberFormat="1" applyFont="1" applyFill="1"/>
    <xf numFmtId="0" fontId="33" fillId="5" borderId="3" xfId="2" applyFont="1" applyFill="1" applyBorder="1" applyAlignment="1">
      <alignment horizontal="left"/>
    </xf>
    <xf numFmtId="0" fontId="33" fillId="5" borderId="3" xfId="2" applyFont="1" applyFill="1" applyBorder="1"/>
    <xf numFmtId="4" fontId="34" fillId="5" borderId="3" xfId="2" applyNumberFormat="1" applyFont="1" applyFill="1" applyBorder="1"/>
    <xf numFmtId="4" fontId="34" fillId="5" borderId="3" xfId="0" applyNumberFormat="1" applyFont="1" applyFill="1" applyBorder="1"/>
    <xf numFmtId="0" fontId="32" fillId="5" borderId="3" xfId="0" applyFont="1" applyFill="1" applyBorder="1" applyAlignment="1">
      <alignment horizontal="left"/>
    </xf>
    <xf numFmtId="0" fontId="31" fillId="5" borderId="3" xfId="0" applyFont="1" applyFill="1" applyBorder="1"/>
    <xf numFmtId="4" fontId="32" fillId="5" borderId="3" xfId="0" applyNumberFormat="1" applyFont="1" applyFill="1" applyBorder="1"/>
    <xf numFmtId="4" fontId="31" fillId="5" borderId="3" xfId="0" applyNumberFormat="1" applyFont="1" applyFill="1" applyBorder="1"/>
    <xf numFmtId="0" fontId="38" fillId="0" borderId="3" xfId="0" applyFont="1" applyBorder="1"/>
    <xf numFmtId="4" fontId="7" fillId="0" borderId="3" xfId="0" applyNumberFormat="1" applyFont="1" applyFill="1" applyBorder="1" applyAlignment="1" applyProtection="1">
      <alignment vertical="center"/>
    </xf>
    <xf numFmtId="4" fontId="5" fillId="0" borderId="3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 applyProtection="1">
      <alignment vertical="center"/>
    </xf>
    <xf numFmtId="4" fontId="7" fillId="0" borderId="3" xfId="0" applyNumberFormat="1" applyFont="1" applyFill="1" applyBorder="1" applyAlignment="1" applyProtection="1">
      <alignment vertical="center" wrapText="1"/>
    </xf>
    <xf numFmtId="4" fontId="5" fillId="0" borderId="3" xfId="0" applyNumberFormat="1" applyFont="1" applyBorder="1" applyAlignment="1">
      <alignment horizontal="right"/>
    </xf>
    <xf numFmtId="4" fontId="8" fillId="0" borderId="3" xfId="0" applyNumberFormat="1" applyFont="1" applyFill="1" applyBorder="1" applyAlignment="1" applyProtection="1">
      <alignment horizontal="left" vertical="center" wrapText="1"/>
    </xf>
    <xf numFmtId="4" fontId="5" fillId="3" borderId="3" xfId="0" quotePrefix="1" applyNumberFormat="1" applyFont="1" applyFill="1" applyBorder="1" applyAlignment="1">
      <alignment horizontal="left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 applyProtection="1">
      <alignment wrapText="1"/>
    </xf>
    <xf numFmtId="4" fontId="4" fillId="3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8" fillId="3" borderId="3" xfId="0" applyNumberFormat="1" applyFont="1" applyFill="1" applyBorder="1" applyAlignment="1" applyProtection="1">
      <alignment vertical="center" wrapText="1"/>
    </xf>
    <xf numFmtId="4" fontId="5" fillId="3" borderId="3" xfId="0" applyNumberFormat="1" applyFont="1" applyFill="1" applyBorder="1" applyAlignment="1">
      <alignment horizontal="right"/>
    </xf>
    <xf numFmtId="0" fontId="40" fillId="3" borderId="3" xfId="0" applyNumberFormat="1" applyFont="1" applyFill="1" applyBorder="1" applyAlignment="1" applyProtection="1">
      <alignment horizontal="center" vertical="center" wrapText="1"/>
    </xf>
    <xf numFmtId="0" fontId="41" fillId="2" borderId="3" xfId="0" applyNumberFormat="1" applyFont="1" applyFill="1" applyBorder="1" applyAlignment="1" applyProtection="1">
      <alignment horizontal="left" vertical="center" wrapText="1"/>
    </xf>
    <xf numFmtId="4" fontId="42" fillId="2" borderId="3" xfId="0" applyNumberFormat="1" applyFont="1" applyFill="1" applyBorder="1" applyAlignment="1">
      <alignment horizontal="right"/>
    </xf>
    <xf numFmtId="4" fontId="43" fillId="0" borderId="3" xfId="0" applyNumberFormat="1" applyFont="1" applyBorder="1"/>
    <xf numFmtId="0" fontId="44" fillId="2" borderId="19" xfId="5" applyFont="1" applyFill="1" applyBorder="1" applyAlignment="1">
      <alignment horizontal="center" vertical="center" wrapText="1"/>
    </xf>
    <xf numFmtId="49" fontId="41" fillId="0" borderId="19" xfId="6" applyNumberFormat="1" applyFont="1" applyBorder="1" applyAlignment="1">
      <alignment horizontal="left" vertical="center" wrapText="1"/>
    </xf>
    <xf numFmtId="49" fontId="41" fillId="2" borderId="19" xfId="5" applyNumberFormat="1" applyFont="1" applyFill="1" applyBorder="1" applyAlignment="1">
      <alignment horizontal="left" vertical="center" wrapText="1"/>
    </xf>
    <xf numFmtId="4" fontId="42" fillId="2" borderId="3" xfId="0" applyNumberFormat="1" applyFont="1" applyFill="1" applyBorder="1" applyAlignment="1" applyProtection="1">
      <alignment horizontal="right" wrapText="1"/>
    </xf>
    <xf numFmtId="0" fontId="45" fillId="2" borderId="3" xfId="0" applyNumberFormat="1" applyFont="1" applyFill="1" applyBorder="1" applyAlignment="1" applyProtection="1">
      <alignment horizontal="left" vertical="center" wrapText="1" indent="1"/>
    </xf>
    <xf numFmtId="0" fontId="46" fillId="2" borderId="3" xfId="0" applyNumberFormat="1" applyFont="1" applyFill="1" applyBorder="1" applyAlignment="1" applyProtection="1">
      <alignment horizontal="left" vertical="center" wrapText="1"/>
    </xf>
    <xf numFmtId="4" fontId="40" fillId="2" borderId="3" xfId="0" applyNumberFormat="1" applyFont="1" applyFill="1" applyBorder="1" applyAlignment="1">
      <alignment horizontal="right"/>
    </xf>
    <xf numFmtId="4" fontId="47" fillId="0" borderId="3" xfId="0" applyNumberFormat="1" applyFont="1" applyBorder="1"/>
    <xf numFmtId="0" fontId="0" fillId="2" borderId="0" xfId="0" applyFill="1"/>
    <xf numFmtId="4" fontId="32" fillId="2" borderId="3" xfId="0" applyNumberFormat="1" applyFont="1" applyFill="1" applyBorder="1"/>
    <xf numFmtId="4" fontId="32" fillId="2" borderId="3" xfId="0" applyNumberFormat="1" applyFont="1" applyFill="1" applyBorder="1" applyAlignment="1">
      <alignment horizontal="right"/>
    </xf>
    <xf numFmtId="4" fontId="30" fillId="0" borderId="3" xfId="0" applyNumberFormat="1" applyFont="1" applyBorder="1"/>
    <xf numFmtId="4" fontId="28" fillId="0" borderId="3" xfId="3" applyNumberFormat="1" applyFont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left" wrapText="1"/>
    </xf>
    <xf numFmtId="4" fontId="36" fillId="5" borderId="0" xfId="0" applyNumberFormat="1" applyFont="1" applyFill="1" applyBorder="1" applyAlignment="1">
      <alignment wrapText="1"/>
    </xf>
    <xf numFmtId="3" fontId="26" fillId="5" borderId="0" xfId="3" applyNumberFormat="1" applyFont="1" applyFill="1" applyAlignment="1">
      <alignment horizontal="center" wrapText="1"/>
    </xf>
    <xf numFmtId="0" fontId="23" fillId="2" borderId="18" xfId="0" quotePrefix="1" applyFont="1" applyFill="1" applyBorder="1" applyAlignment="1">
      <alignment horizontal="left" vertical="center"/>
    </xf>
    <xf numFmtId="0" fontId="23" fillId="2" borderId="24" xfId="0" quotePrefix="1" applyFont="1" applyFill="1" applyBorder="1" applyAlignment="1">
      <alignment horizontal="left" vertical="center"/>
    </xf>
    <xf numFmtId="0" fontId="17" fillId="0" borderId="8" xfId="0" applyFont="1" applyBorder="1"/>
    <xf numFmtId="0" fontId="18" fillId="2" borderId="8" xfId="0" quotePrefix="1" applyFont="1" applyFill="1" applyBorder="1" applyAlignment="1">
      <alignment horizontal="left" vertical="center"/>
    </xf>
    <xf numFmtId="0" fontId="17" fillId="0" borderId="8" xfId="0" applyFont="1" applyBorder="1" applyAlignment="1">
      <alignment wrapText="1"/>
    </xf>
    <xf numFmtId="4" fontId="24" fillId="2" borderId="8" xfId="0" applyNumberFormat="1" applyFont="1" applyFill="1" applyBorder="1" applyAlignment="1" applyProtection="1">
      <alignment vertical="center" wrapText="1"/>
    </xf>
    <xf numFmtId="4" fontId="20" fillId="2" borderId="8" xfId="0" applyNumberFormat="1" applyFont="1" applyFill="1" applyBorder="1" applyAlignment="1"/>
    <xf numFmtId="4" fontId="20" fillId="2" borderId="25" xfId="0" applyNumberFormat="1" applyFont="1" applyFill="1" applyBorder="1" applyAlignment="1">
      <alignment horizontal="right"/>
    </xf>
    <xf numFmtId="0" fontId="37" fillId="0" borderId="0" xfId="5" quotePrefix="1"/>
    <xf numFmtId="0" fontId="23" fillId="3" borderId="18" xfId="0" quotePrefix="1" applyFont="1" applyFill="1" applyBorder="1" applyAlignment="1">
      <alignment horizontal="left" vertical="center"/>
    </xf>
    <xf numFmtId="4" fontId="24" fillId="3" borderId="3" xfId="0" applyNumberFormat="1" applyFont="1" applyFill="1" applyBorder="1" applyAlignment="1" applyProtection="1">
      <alignment vertical="center" wrapText="1"/>
    </xf>
    <xf numFmtId="4" fontId="20" fillId="3" borderId="21" xfId="0" applyNumberFormat="1" applyFont="1" applyFill="1" applyBorder="1" applyAlignment="1"/>
    <xf numFmtId="4" fontId="20" fillId="3" borderId="22" xfId="0" applyNumberFormat="1" applyFont="1" applyFill="1" applyBorder="1" applyAlignment="1">
      <alignment horizontal="right"/>
    </xf>
    <xf numFmtId="4" fontId="39" fillId="0" borderId="3" xfId="0" applyNumberFormat="1" applyFont="1" applyBorder="1" applyAlignment="1">
      <alignment horizontal="right"/>
    </xf>
    <xf numFmtId="4" fontId="47" fillId="0" borderId="3" xfId="0" applyNumberFormat="1" applyFont="1" applyBorder="1" applyAlignment="1">
      <alignment horizontal="right"/>
    </xf>
    <xf numFmtId="4" fontId="43" fillId="0" borderId="3" xfId="0" applyNumberFormat="1" applyFont="1" applyBorder="1" applyAlignment="1">
      <alignment horizontal="right"/>
    </xf>
    <xf numFmtId="0" fontId="5" fillId="3" borderId="3" xfId="0" quotePrefix="1" applyNumberFormat="1" applyFont="1" applyFill="1" applyBorder="1" applyAlignment="1" applyProtection="1">
      <alignment horizontal="center" vertical="center" wrapText="1"/>
    </xf>
    <xf numFmtId="0" fontId="34" fillId="5" borderId="26" xfId="0" applyFont="1" applyFill="1" applyBorder="1"/>
    <xf numFmtId="0" fontId="34" fillId="5" borderId="27" xfId="0" applyFont="1" applyFill="1" applyBorder="1"/>
    <xf numFmtId="4" fontId="31" fillId="0" borderId="21" xfId="0" applyNumberFormat="1" applyFont="1" applyBorder="1"/>
    <xf numFmtId="4" fontId="32" fillId="5" borderId="28" xfId="0" applyNumberFormat="1" applyFont="1" applyFill="1" applyBorder="1"/>
    <xf numFmtId="4" fontId="31" fillId="5" borderId="29" xfId="0" applyNumberFormat="1" applyFont="1" applyFill="1" applyBorder="1"/>
    <xf numFmtId="4" fontId="33" fillId="5" borderId="0" xfId="0" applyNumberFormat="1" applyFont="1" applyFill="1" applyBorder="1" applyAlignment="1">
      <alignment horizontal="center"/>
    </xf>
    <xf numFmtId="0" fontId="30" fillId="2" borderId="3" xfId="3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39" fillId="3" borderId="1" xfId="0" applyFont="1" applyFill="1" applyBorder="1" applyAlignment="1">
      <alignment horizontal="center"/>
    </xf>
    <xf numFmtId="0" fontId="39" fillId="3" borderId="2" xfId="0" applyFont="1" applyFill="1" applyBorder="1" applyAlignment="1">
      <alignment horizontal="center"/>
    </xf>
    <xf numFmtId="0" fontId="39" fillId="3" borderId="4" xfId="0" applyFont="1" applyFill="1" applyBorder="1" applyAlignment="1">
      <alignment horizontal="center"/>
    </xf>
    <xf numFmtId="0" fontId="23" fillId="3" borderId="1" xfId="0" quotePrefix="1" applyFont="1" applyFill="1" applyBorder="1" applyAlignment="1">
      <alignment horizontal="center" vertical="center"/>
    </xf>
    <xf numFmtId="0" fontId="23" fillId="3" borderId="2" xfId="0" quotePrefix="1" applyFont="1" applyFill="1" applyBorder="1" applyAlignment="1">
      <alignment horizontal="center" vertical="center"/>
    </xf>
    <xf numFmtId="0" fontId="23" fillId="3" borderId="4" xfId="0" quotePrefix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14" fillId="3" borderId="16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16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9" fillId="3" borderId="3" xfId="0" applyFont="1" applyFill="1" applyBorder="1" applyAlignment="1">
      <alignment horizontal="center"/>
    </xf>
    <xf numFmtId="3" fontId="19" fillId="0" borderId="5" xfId="3" applyNumberFormat="1" applyFont="1" applyBorder="1" applyAlignment="1">
      <alignment horizontal="left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4" fontId="48" fillId="0" borderId="3" xfId="0" applyNumberFormat="1" applyFont="1" applyFill="1" applyBorder="1" applyAlignment="1" applyProtection="1">
      <alignment vertical="center" wrapText="1"/>
    </xf>
    <xf numFmtId="4" fontId="48" fillId="2" borderId="3" xfId="0" applyNumberFormat="1" applyFont="1" applyFill="1" applyBorder="1" applyAlignment="1" applyProtection="1">
      <alignment vertical="center" wrapText="1"/>
    </xf>
    <xf numFmtId="4" fontId="49" fillId="0" borderId="3" xfId="0" applyNumberFormat="1" applyFont="1" applyBorder="1" applyAlignment="1">
      <alignment horizontal="right"/>
    </xf>
    <xf numFmtId="4" fontId="49" fillId="2" borderId="3" xfId="0" applyNumberFormat="1" applyFont="1" applyFill="1" applyBorder="1" applyAlignment="1" applyProtection="1">
      <alignment vertical="center" wrapText="1"/>
    </xf>
    <xf numFmtId="4" fontId="39" fillId="2" borderId="3" xfId="0" applyNumberFormat="1" applyFont="1" applyFill="1" applyBorder="1" applyAlignment="1">
      <alignment horizontal="right"/>
    </xf>
    <xf numFmtId="4" fontId="39" fillId="2" borderId="3" xfId="0" applyNumberFormat="1" applyFont="1" applyFill="1" applyBorder="1" applyAlignment="1"/>
    <xf numFmtId="4" fontId="39" fillId="2" borderId="3" xfId="0" applyNumberFormat="1" applyFont="1" applyFill="1" applyBorder="1" applyAlignment="1" applyProtection="1">
      <alignment vertical="center" wrapText="1"/>
    </xf>
    <xf numFmtId="4" fontId="22" fillId="2" borderId="3" xfId="0" applyNumberFormat="1" applyFont="1" applyFill="1" applyBorder="1" applyAlignment="1" applyProtection="1">
      <alignment vertical="center" wrapText="1"/>
    </xf>
    <xf numFmtId="4" fontId="17" fillId="0" borderId="0" xfId="0" applyNumberFormat="1" applyFont="1"/>
    <xf numFmtId="4" fontId="17" fillId="2" borderId="3" xfId="0" applyNumberFormat="1" applyFont="1" applyFill="1" applyBorder="1" applyAlignment="1" applyProtection="1">
      <alignment vertical="center" wrapText="1"/>
    </xf>
    <xf numFmtId="4" fontId="17" fillId="2" borderId="3" xfId="0" applyNumberFormat="1" applyFont="1" applyFill="1" applyBorder="1"/>
  </cellXfs>
  <cellStyles count="7">
    <cellStyle name="Bilješka" xfId="2" builtinId="10"/>
    <cellStyle name="Normalno" xfId="0" builtinId="0"/>
    <cellStyle name="Normalno 2" xfId="5" xr:uid="{00000000-0005-0000-0000-000003000000}"/>
    <cellStyle name="Normalno 4" xfId="6" xr:uid="{00000000-0005-0000-0000-000004000000}"/>
    <cellStyle name="Obično 2" xfId="3" xr:uid="{00000000-0005-0000-0000-000005000000}"/>
    <cellStyle name="Obično 3" xfId="4" xr:uid="{00000000-0005-0000-0000-000006000000}"/>
    <cellStyle name="Obično_List4" xfId="1" xr:uid="{00000000-0005-0000-0000-000007000000}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6"/>
  <sheetViews>
    <sheetView tabSelected="1" zoomScaleNormal="100" workbookViewId="0">
      <selection activeCell="G12" sqref="G12:I12"/>
    </sheetView>
  </sheetViews>
  <sheetFormatPr defaultRowHeight="15" x14ac:dyDescent="0.25"/>
  <cols>
    <col min="6" max="9" width="25.28515625" customWidth="1"/>
    <col min="10" max="11" width="15.7109375" customWidth="1"/>
    <col min="12" max="12" width="25.28515625" customWidth="1"/>
  </cols>
  <sheetData>
    <row r="1" spans="2:12" ht="42" customHeight="1" x14ac:dyDescent="0.25">
      <c r="B1" s="278" t="s">
        <v>224</v>
      </c>
      <c r="C1" s="278"/>
      <c r="D1" s="278"/>
      <c r="E1" s="278"/>
      <c r="F1" s="278"/>
      <c r="G1" s="278"/>
      <c r="H1" s="278"/>
      <c r="I1" s="278"/>
      <c r="J1" s="278"/>
      <c r="K1" s="278"/>
      <c r="L1" s="9"/>
    </row>
    <row r="2" spans="2:12" ht="18" customHeight="1" x14ac:dyDescent="0.25"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3"/>
    </row>
    <row r="3" spans="2:12" ht="15.75" customHeight="1" x14ac:dyDescent="0.25">
      <c r="B3" s="278" t="s">
        <v>9</v>
      </c>
      <c r="C3" s="278"/>
      <c r="D3" s="278"/>
      <c r="E3" s="278"/>
      <c r="F3" s="278"/>
      <c r="G3" s="278"/>
      <c r="H3" s="278"/>
      <c r="I3" s="278"/>
      <c r="J3" s="278"/>
      <c r="K3" s="278"/>
      <c r="L3" s="8"/>
    </row>
    <row r="4" spans="2:12" ht="18" x14ac:dyDescent="0.25"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4"/>
    </row>
    <row r="5" spans="2:12" ht="18" customHeight="1" x14ac:dyDescent="0.25">
      <c r="B5" s="278" t="s">
        <v>36</v>
      </c>
      <c r="C5" s="278"/>
      <c r="D5" s="278"/>
      <c r="E5" s="278"/>
      <c r="F5" s="278"/>
      <c r="G5" s="278"/>
      <c r="H5" s="278"/>
      <c r="I5" s="278"/>
      <c r="J5" s="278"/>
      <c r="K5" s="278"/>
      <c r="L5" s="7"/>
    </row>
    <row r="6" spans="2:12" ht="18" customHeight="1" x14ac:dyDescent="0.25"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7"/>
    </row>
    <row r="7" spans="2:12" ht="18" customHeight="1" x14ac:dyDescent="0.25">
      <c r="B7" s="302" t="s">
        <v>43</v>
      </c>
      <c r="C7" s="302"/>
      <c r="D7" s="302"/>
      <c r="E7" s="302"/>
      <c r="F7" s="302"/>
      <c r="G7" s="29"/>
      <c r="H7" s="25"/>
      <c r="I7" s="25"/>
      <c r="J7" s="26"/>
      <c r="K7" s="26"/>
    </row>
    <row r="8" spans="2:12" ht="25.5" x14ac:dyDescent="0.25">
      <c r="B8" s="286" t="s">
        <v>7</v>
      </c>
      <c r="C8" s="286"/>
      <c r="D8" s="286"/>
      <c r="E8" s="286"/>
      <c r="F8" s="286"/>
      <c r="G8" s="10" t="s">
        <v>213</v>
      </c>
      <c r="H8" s="10" t="s">
        <v>225</v>
      </c>
      <c r="I8" s="10" t="s">
        <v>226</v>
      </c>
      <c r="J8" s="10" t="s">
        <v>18</v>
      </c>
      <c r="K8" s="10" t="s">
        <v>34</v>
      </c>
    </row>
    <row r="9" spans="2:12" x14ac:dyDescent="0.25">
      <c r="B9" s="296">
        <v>1</v>
      </c>
      <c r="C9" s="296"/>
      <c r="D9" s="296"/>
      <c r="E9" s="296"/>
      <c r="F9" s="297"/>
      <c r="G9" s="15">
        <v>2</v>
      </c>
      <c r="H9" s="14">
        <v>3</v>
      </c>
      <c r="I9" s="14">
        <v>4</v>
      </c>
      <c r="J9" s="14" t="s">
        <v>206</v>
      </c>
      <c r="K9" s="14" t="s">
        <v>207</v>
      </c>
    </row>
    <row r="10" spans="2:12" x14ac:dyDescent="0.25">
      <c r="B10" s="284" t="s">
        <v>20</v>
      </c>
      <c r="C10" s="285"/>
      <c r="D10" s="285"/>
      <c r="E10" s="285"/>
      <c r="F10" s="294"/>
      <c r="G10" s="217">
        <v>669057.97</v>
      </c>
      <c r="H10" s="228">
        <v>1058141.3899999999</v>
      </c>
      <c r="I10" s="228">
        <v>714211.9800000001</v>
      </c>
      <c r="J10" s="218">
        <f>I10/G10*100</f>
        <v>106.74889352263455</v>
      </c>
      <c r="K10" s="218">
        <f>I10/H10*100</f>
        <v>67.496838017082027</v>
      </c>
    </row>
    <row r="11" spans="2:12" x14ac:dyDescent="0.25">
      <c r="B11" s="295" t="s">
        <v>19</v>
      </c>
      <c r="C11" s="294"/>
      <c r="D11" s="294"/>
      <c r="E11" s="294"/>
      <c r="F11" s="294"/>
      <c r="G11" s="217">
        <v>0</v>
      </c>
      <c r="H11" s="228">
        <v>0</v>
      </c>
      <c r="I11" s="228">
        <v>0</v>
      </c>
      <c r="J11" s="218" t="e">
        <f t="shared" ref="J11:J16" si="0">I11/G11*100</f>
        <v>#DIV/0!</v>
      </c>
      <c r="K11" s="218" t="e">
        <f t="shared" ref="K11:K16" si="1">I11/H11*100</f>
        <v>#DIV/0!</v>
      </c>
    </row>
    <row r="12" spans="2:12" x14ac:dyDescent="0.25">
      <c r="B12" s="291" t="s">
        <v>0</v>
      </c>
      <c r="C12" s="292"/>
      <c r="D12" s="292"/>
      <c r="E12" s="292"/>
      <c r="F12" s="293"/>
      <c r="G12" s="219">
        <f>SUM(G10:G11)</f>
        <v>669057.97</v>
      </c>
      <c r="H12" s="219">
        <f t="shared" ref="H12:I12" si="2">SUM(H10:H11)</f>
        <v>1058141.3899999999</v>
      </c>
      <c r="I12" s="219">
        <f t="shared" si="2"/>
        <v>714211.9800000001</v>
      </c>
      <c r="J12" s="231">
        <f t="shared" si="0"/>
        <v>106.74889352263455</v>
      </c>
      <c r="K12" s="231">
        <f t="shared" si="1"/>
        <v>67.496838017082027</v>
      </c>
    </row>
    <row r="13" spans="2:12" x14ac:dyDescent="0.25">
      <c r="B13" s="301" t="s">
        <v>21</v>
      </c>
      <c r="C13" s="285"/>
      <c r="D13" s="285"/>
      <c r="E13" s="285"/>
      <c r="F13" s="285"/>
      <c r="G13" s="220">
        <v>652958.05000000005</v>
      </c>
      <c r="H13" s="228">
        <v>1044110.1099999999</v>
      </c>
      <c r="I13" s="228">
        <v>706558.30000000016</v>
      </c>
      <c r="J13" s="218">
        <f t="shared" si="0"/>
        <v>108.20883516176882</v>
      </c>
      <c r="K13" s="218">
        <f t="shared" si="1"/>
        <v>67.670860882670723</v>
      </c>
    </row>
    <row r="14" spans="2:12" x14ac:dyDescent="0.25">
      <c r="B14" s="299" t="s">
        <v>22</v>
      </c>
      <c r="C14" s="294"/>
      <c r="D14" s="294"/>
      <c r="E14" s="294"/>
      <c r="F14" s="294"/>
      <c r="G14" s="217">
        <v>17827.46</v>
      </c>
      <c r="H14" s="229">
        <v>25800</v>
      </c>
      <c r="I14" s="229">
        <v>3297.98</v>
      </c>
      <c r="J14" s="218">
        <f t="shared" si="0"/>
        <v>18.499438506663317</v>
      </c>
      <c r="K14" s="218">
        <f t="shared" si="1"/>
        <v>12.782868217054263</v>
      </c>
    </row>
    <row r="15" spans="2:12" x14ac:dyDescent="0.25">
      <c r="B15" s="6" t="s">
        <v>1</v>
      </c>
      <c r="C15" s="23"/>
      <c r="D15" s="23"/>
      <c r="E15" s="23"/>
      <c r="F15" s="23"/>
      <c r="G15" s="219">
        <f>SUM(G13:G14)</f>
        <v>670785.51</v>
      </c>
      <c r="H15" s="219">
        <f t="shared" ref="H15:I15" si="3">SUM(H13:H14)</f>
        <v>1069910.1099999999</v>
      </c>
      <c r="I15" s="219">
        <f t="shared" si="3"/>
        <v>709856.28000000014</v>
      </c>
      <c r="J15" s="231">
        <f t="shared" si="0"/>
        <v>105.82462939606434</v>
      </c>
      <c r="K15" s="231">
        <f t="shared" si="1"/>
        <v>66.347282202988083</v>
      </c>
    </row>
    <row r="16" spans="2:12" x14ac:dyDescent="0.25">
      <c r="B16" s="300" t="s">
        <v>2</v>
      </c>
      <c r="C16" s="292"/>
      <c r="D16" s="292"/>
      <c r="E16" s="292"/>
      <c r="F16" s="292"/>
      <c r="G16" s="230">
        <f>G12-G15</f>
        <v>-1727.5400000000373</v>
      </c>
      <c r="H16" s="230">
        <f t="shared" ref="H16:I16" si="4">H12-H15</f>
        <v>-11768.719999999972</v>
      </c>
      <c r="I16" s="230">
        <f t="shared" si="4"/>
        <v>4355.6999999999534</v>
      </c>
      <c r="J16" s="231">
        <f t="shared" si="0"/>
        <v>-252.13309098486053</v>
      </c>
      <c r="K16" s="231">
        <f t="shared" si="1"/>
        <v>-37.010821907564832</v>
      </c>
    </row>
    <row r="17" spans="1:48" ht="18" x14ac:dyDescent="0.25"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1"/>
    </row>
    <row r="18" spans="1:48" ht="18" customHeight="1" x14ac:dyDescent="0.25">
      <c r="B18" s="283" t="s">
        <v>40</v>
      </c>
      <c r="C18" s="283"/>
      <c r="D18" s="283"/>
      <c r="E18" s="283"/>
      <c r="F18" s="283"/>
      <c r="G18" s="24"/>
      <c r="H18" s="25"/>
      <c r="I18" s="25"/>
      <c r="J18" s="26"/>
      <c r="K18" s="26"/>
      <c r="L18" s="1"/>
    </row>
    <row r="19" spans="1:48" ht="25.5" x14ac:dyDescent="0.25">
      <c r="B19" s="286" t="s">
        <v>7</v>
      </c>
      <c r="C19" s="286"/>
      <c r="D19" s="286"/>
      <c r="E19" s="286"/>
      <c r="F19" s="286"/>
      <c r="G19" s="10" t="s">
        <v>213</v>
      </c>
      <c r="H19" s="10" t="s">
        <v>225</v>
      </c>
      <c r="I19" s="10" t="s">
        <v>226</v>
      </c>
      <c r="J19" s="2" t="s">
        <v>18</v>
      </c>
      <c r="K19" s="2" t="s">
        <v>34</v>
      </c>
    </row>
    <row r="20" spans="1:48" x14ac:dyDescent="0.25">
      <c r="B20" s="287">
        <v>1</v>
      </c>
      <c r="C20" s="288"/>
      <c r="D20" s="288"/>
      <c r="E20" s="288"/>
      <c r="F20" s="288"/>
      <c r="G20" s="16">
        <v>2</v>
      </c>
      <c r="H20" s="14">
        <v>3</v>
      </c>
      <c r="I20" s="14">
        <v>4</v>
      </c>
      <c r="J20" s="14" t="s">
        <v>206</v>
      </c>
      <c r="K20" s="14" t="s">
        <v>207</v>
      </c>
    </row>
    <row r="21" spans="1:48" ht="15.75" customHeight="1" x14ac:dyDescent="0.25">
      <c r="B21" s="284" t="s">
        <v>23</v>
      </c>
      <c r="C21" s="289"/>
      <c r="D21" s="289"/>
      <c r="E21" s="289"/>
      <c r="F21" s="289"/>
      <c r="G21" s="222"/>
      <c r="H21" s="221"/>
      <c r="I21" s="221"/>
      <c r="J21" s="221"/>
      <c r="K21" s="221"/>
    </row>
    <row r="22" spans="1:48" x14ac:dyDescent="0.25">
      <c r="B22" s="284" t="s">
        <v>24</v>
      </c>
      <c r="C22" s="285"/>
      <c r="D22" s="285"/>
      <c r="E22" s="285"/>
      <c r="F22" s="285"/>
      <c r="G22" s="220"/>
      <c r="H22" s="221"/>
      <c r="I22" s="221"/>
      <c r="J22" s="221"/>
      <c r="K22" s="221"/>
    </row>
    <row r="23" spans="1:48" ht="15" customHeight="1" x14ac:dyDescent="0.25">
      <c r="B23" s="280" t="s">
        <v>35</v>
      </c>
      <c r="C23" s="281"/>
      <c r="D23" s="281"/>
      <c r="E23" s="281"/>
      <c r="F23" s="282"/>
      <c r="G23" s="223"/>
      <c r="H23" s="224"/>
      <c r="I23" s="224"/>
      <c r="J23" s="224"/>
      <c r="K23" s="224"/>
    </row>
    <row r="24" spans="1:48" s="19" customFormat="1" ht="15" customHeight="1" x14ac:dyDescent="0.25">
      <c r="A24"/>
      <c r="B24" s="284" t="s">
        <v>13</v>
      </c>
      <c r="C24" s="285"/>
      <c r="D24" s="285"/>
      <c r="E24" s="285"/>
      <c r="F24" s="285"/>
      <c r="G24" s="337">
        <v>15377.2</v>
      </c>
      <c r="H24" s="338">
        <v>11855.27</v>
      </c>
      <c r="I24" s="338">
        <v>1808.25</v>
      </c>
      <c r="J24" s="339">
        <f>I24/G24*100</f>
        <v>11.759292979215981</v>
      </c>
      <c r="K24" s="339">
        <f>I24/H24*100</f>
        <v>15.252710397991779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19" customFormat="1" ht="15" customHeight="1" x14ac:dyDescent="0.25">
      <c r="A25"/>
      <c r="B25" s="284" t="s">
        <v>39</v>
      </c>
      <c r="C25" s="285"/>
      <c r="D25" s="285"/>
      <c r="E25" s="285"/>
      <c r="F25" s="285"/>
      <c r="G25" s="220"/>
      <c r="H25" s="221"/>
      <c r="I25" s="221"/>
      <c r="J25" s="221"/>
      <c r="K25" s="221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s="22" customFormat="1" x14ac:dyDescent="0.25">
      <c r="A26" s="21"/>
      <c r="B26" s="280" t="s">
        <v>41</v>
      </c>
      <c r="C26" s="281"/>
      <c r="D26" s="281"/>
      <c r="E26" s="281"/>
      <c r="F26" s="282"/>
      <c r="G26" s="223"/>
      <c r="H26" s="225"/>
      <c r="I26" s="225"/>
      <c r="J26" s="225"/>
      <c r="K26" s="225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</row>
    <row r="27" spans="1:48" ht="15.75" x14ac:dyDescent="0.25">
      <c r="B27" s="298" t="s">
        <v>42</v>
      </c>
      <c r="C27" s="298"/>
      <c r="D27" s="298"/>
      <c r="E27" s="298"/>
      <c r="F27" s="298"/>
      <c r="G27" s="226"/>
      <c r="H27" s="227"/>
      <c r="I27" s="227"/>
      <c r="J27" s="227"/>
      <c r="K27" s="227"/>
    </row>
    <row r="29" spans="1:48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7"/>
    </row>
    <row r="30" spans="1:48" x14ac:dyDescent="0.25">
      <c r="B30" s="276" t="s">
        <v>46</v>
      </c>
      <c r="C30" s="276"/>
      <c r="D30" s="276"/>
      <c r="E30" s="276"/>
      <c r="F30" s="276"/>
      <c r="G30" s="276"/>
      <c r="H30" s="276"/>
      <c r="I30" s="276"/>
      <c r="J30" s="276"/>
      <c r="K30" s="276"/>
    </row>
    <row r="31" spans="1:48" ht="15" customHeight="1" x14ac:dyDescent="0.25">
      <c r="B31" s="276" t="s">
        <v>47</v>
      </c>
      <c r="C31" s="276"/>
      <c r="D31" s="276"/>
      <c r="E31" s="276"/>
      <c r="F31" s="276"/>
      <c r="G31" s="276"/>
      <c r="H31" s="276"/>
      <c r="I31" s="276"/>
      <c r="J31" s="276"/>
      <c r="K31" s="276"/>
    </row>
    <row r="32" spans="1:48" ht="15" customHeight="1" x14ac:dyDescent="0.25">
      <c r="B32" s="276" t="s">
        <v>49</v>
      </c>
      <c r="C32" s="276"/>
      <c r="D32" s="276"/>
      <c r="E32" s="276"/>
      <c r="F32" s="276"/>
      <c r="G32" s="276"/>
      <c r="H32" s="276"/>
      <c r="I32" s="276"/>
      <c r="J32" s="276"/>
      <c r="K32" s="276"/>
    </row>
    <row r="33" spans="2:11" ht="15" customHeight="1" x14ac:dyDescent="0.25">
      <c r="B33" s="276" t="s">
        <v>50</v>
      </c>
      <c r="C33" s="276"/>
      <c r="D33" s="276"/>
      <c r="E33" s="276"/>
      <c r="F33" s="276"/>
      <c r="G33" s="276"/>
      <c r="H33" s="276"/>
      <c r="I33" s="276"/>
      <c r="J33" s="276"/>
      <c r="K33" s="276"/>
    </row>
    <row r="34" spans="2:11" ht="36.75" customHeight="1" x14ac:dyDescent="0.25">
      <c r="B34" s="276"/>
      <c r="C34" s="276"/>
      <c r="D34" s="276"/>
      <c r="E34" s="276"/>
      <c r="F34" s="276"/>
      <c r="G34" s="276"/>
      <c r="H34" s="276"/>
      <c r="I34" s="276"/>
      <c r="J34" s="276"/>
      <c r="K34" s="276"/>
    </row>
    <row r="35" spans="2:11" ht="15" customHeight="1" x14ac:dyDescent="0.25">
      <c r="B35" s="290" t="s">
        <v>51</v>
      </c>
      <c r="C35" s="290"/>
      <c r="D35" s="290"/>
      <c r="E35" s="290"/>
      <c r="F35" s="290"/>
      <c r="G35" s="290"/>
      <c r="H35" s="290"/>
      <c r="I35" s="290"/>
      <c r="J35" s="290"/>
      <c r="K35" s="290"/>
    </row>
    <row r="36" spans="2:11" x14ac:dyDescent="0.25">
      <c r="B36" s="290"/>
      <c r="C36" s="290"/>
      <c r="D36" s="290"/>
      <c r="E36" s="290"/>
      <c r="F36" s="290"/>
      <c r="G36" s="290"/>
      <c r="H36" s="290"/>
      <c r="I36" s="290"/>
      <c r="J36" s="290"/>
      <c r="K36" s="290"/>
    </row>
  </sheetData>
  <mergeCells count="31">
    <mergeCell ref="B1:K1"/>
    <mergeCell ref="B33:K34"/>
    <mergeCell ref="B35:K36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K30"/>
    <mergeCell ref="B31:K31"/>
    <mergeCell ref="B7:F7"/>
    <mergeCell ref="B32:K32"/>
    <mergeCell ref="B2:K2"/>
    <mergeCell ref="B4:K4"/>
    <mergeCell ref="B6:K6"/>
    <mergeCell ref="B17:K17"/>
    <mergeCell ref="B5:K5"/>
    <mergeCell ref="B3:K3"/>
    <mergeCell ref="B26:F26"/>
    <mergeCell ref="B23:F23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160"/>
  <sheetViews>
    <sheetView zoomScale="90" zoomScaleNormal="90" workbookViewId="0">
      <selection activeCell="H38" sqref="H3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style="104" customWidth="1"/>
    <col min="6" max="6" width="44.7109375" customWidth="1"/>
    <col min="7" max="9" width="25.28515625" customWidth="1"/>
    <col min="10" max="11" width="15.7109375" customWidth="1"/>
    <col min="13" max="13" width="11" bestFit="1" customWidth="1"/>
    <col min="15" max="15" width="12.5703125" bestFit="1" customWidth="1"/>
  </cols>
  <sheetData>
    <row r="1" spans="2:11" ht="18.75" thickBot="1" x14ac:dyDescent="0.3"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2:11" ht="15.75" customHeight="1" x14ac:dyDescent="0.25">
      <c r="B2" s="309" t="s">
        <v>9</v>
      </c>
      <c r="C2" s="310"/>
      <c r="D2" s="310"/>
      <c r="E2" s="310"/>
      <c r="F2" s="310"/>
      <c r="G2" s="310"/>
      <c r="H2" s="310"/>
      <c r="I2" s="310"/>
      <c r="J2" s="310"/>
      <c r="K2" s="311"/>
    </row>
    <row r="3" spans="2:11" ht="18.75" thickBot="1" x14ac:dyDescent="0.3">
      <c r="B3" s="323"/>
      <c r="C3" s="277"/>
      <c r="D3" s="277"/>
      <c r="E3" s="277"/>
      <c r="F3" s="277"/>
      <c r="G3" s="277"/>
      <c r="H3" s="277"/>
      <c r="I3" s="277"/>
      <c r="J3" s="277"/>
      <c r="K3" s="324"/>
    </row>
    <row r="4" spans="2:11" ht="15.75" customHeight="1" x14ac:dyDescent="0.25">
      <c r="B4" s="309" t="s">
        <v>37</v>
      </c>
      <c r="C4" s="310"/>
      <c r="D4" s="310"/>
      <c r="E4" s="310"/>
      <c r="F4" s="310"/>
      <c r="G4" s="310"/>
      <c r="H4" s="310"/>
      <c r="I4" s="310"/>
      <c r="J4" s="310"/>
      <c r="K4" s="311"/>
    </row>
    <row r="5" spans="2:11" ht="18" x14ac:dyDescent="0.25">
      <c r="B5" s="323"/>
      <c r="C5" s="277"/>
      <c r="D5" s="277"/>
      <c r="E5" s="277"/>
      <c r="F5" s="277"/>
      <c r="G5" s="277"/>
      <c r="H5" s="277"/>
      <c r="I5" s="277"/>
      <c r="J5" s="277"/>
      <c r="K5" s="324"/>
    </row>
    <row r="6" spans="2:11" ht="15.75" customHeight="1" x14ac:dyDescent="0.25">
      <c r="B6" s="312" t="s">
        <v>28</v>
      </c>
      <c r="C6" s="278"/>
      <c r="D6" s="278"/>
      <c r="E6" s="278"/>
      <c r="F6" s="278"/>
      <c r="G6" s="278"/>
      <c r="H6" s="278"/>
      <c r="I6" s="278"/>
      <c r="J6" s="278"/>
      <c r="K6" s="313"/>
    </row>
    <row r="7" spans="2:11" ht="18" x14ac:dyDescent="0.25">
      <c r="B7" s="320"/>
      <c r="C7" s="321"/>
      <c r="D7" s="321"/>
      <c r="E7" s="321"/>
      <c r="F7" s="321"/>
      <c r="G7" s="321"/>
      <c r="H7" s="321"/>
      <c r="I7" s="321"/>
      <c r="J7" s="321"/>
      <c r="K7" s="322"/>
    </row>
    <row r="8" spans="2:11" ht="45" customHeight="1" x14ac:dyDescent="0.25">
      <c r="B8" s="317" t="s">
        <v>7</v>
      </c>
      <c r="C8" s="318"/>
      <c r="D8" s="318"/>
      <c r="E8" s="318"/>
      <c r="F8" s="319"/>
      <c r="G8" s="18" t="s">
        <v>213</v>
      </c>
      <c r="H8" s="18" t="s">
        <v>225</v>
      </c>
      <c r="I8" s="18" t="s">
        <v>226</v>
      </c>
      <c r="J8" s="18" t="s">
        <v>18</v>
      </c>
      <c r="K8" s="98" t="s">
        <v>34</v>
      </c>
    </row>
    <row r="9" spans="2:11" x14ac:dyDescent="0.25">
      <c r="B9" s="314">
        <v>1</v>
      </c>
      <c r="C9" s="315"/>
      <c r="D9" s="315"/>
      <c r="E9" s="315"/>
      <c r="F9" s="316"/>
      <c r="G9" s="20">
        <v>2</v>
      </c>
      <c r="H9" s="20">
        <v>3</v>
      </c>
      <c r="I9" s="20">
        <v>4</v>
      </c>
      <c r="J9" s="20" t="s">
        <v>206</v>
      </c>
      <c r="K9" s="99" t="s">
        <v>207</v>
      </c>
    </row>
    <row r="10" spans="2:11" ht="15.75" x14ac:dyDescent="0.25">
      <c r="B10" s="100"/>
      <c r="C10" s="45"/>
      <c r="D10" s="45"/>
      <c r="E10" s="38"/>
      <c r="F10" s="45" t="s">
        <v>33</v>
      </c>
      <c r="G10" s="39"/>
      <c r="H10" s="39"/>
      <c r="I10" s="40"/>
      <c r="J10" s="40"/>
      <c r="K10" s="101"/>
    </row>
    <row r="11" spans="2:11" ht="15.75" x14ac:dyDescent="0.25">
      <c r="B11" s="100">
        <v>6</v>
      </c>
      <c r="C11" s="45"/>
      <c r="D11" s="45"/>
      <c r="E11" s="38"/>
      <c r="F11" s="45" t="s">
        <v>3</v>
      </c>
      <c r="G11" s="41">
        <f>G12+G21+G24+G28+G32</f>
        <v>669057.97</v>
      </c>
      <c r="H11" s="41">
        <f>H12+H21+H24+H28</f>
        <v>1058141.3899999999</v>
      </c>
      <c r="I11" s="41">
        <f>I12+I21+I24+I28+I32</f>
        <v>714211.9800000001</v>
      </c>
      <c r="J11" s="41">
        <f>I11/G11*100</f>
        <v>106.74889352263455</v>
      </c>
      <c r="K11" s="177">
        <f>I11/H11*100</f>
        <v>67.496838017082027</v>
      </c>
    </row>
    <row r="12" spans="2:11" ht="31.5" x14ac:dyDescent="0.25">
      <c r="B12" s="162"/>
      <c r="C12" s="163">
        <v>63</v>
      </c>
      <c r="D12" s="163"/>
      <c r="E12" s="163"/>
      <c r="F12" s="163" t="s">
        <v>11</v>
      </c>
      <c r="G12" s="157">
        <f>G13+G18</f>
        <v>557546.67000000004</v>
      </c>
      <c r="H12" s="115">
        <v>897699.34</v>
      </c>
      <c r="I12" s="157">
        <f t="shared" ref="I12" si="0">I13+I18</f>
        <v>615078.45000000007</v>
      </c>
      <c r="J12" s="176">
        <f t="shared" ref="J12:J34" si="1">I12/G12*100</f>
        <v>110.3187379811631</v>
      </c>
      <c r="K12" s="178">
        <f t="shared" ref="K12:K34" si="2">I12/H12*100</f>
        <v>68.517199756435161</v>
      </c>
    </row>
    <row r="13" spans="2:11" ht="33.75" customHeight="1" x14ac:dyDescent="0.25">
      <c r="B13" s="102"/>
      <c r="C13" s="36"/>
      <c r="D13" s="36">
        <v>636</v>
      </c>
      <c r="E13" s="36"/>
      <c r="F13" s="37" t="s">
        <v>52</v>
      </c>
      <c r="G13" s="115">
        <f>G14+G17</f>
        <v>557546.67000000004</v>
      </c>
      <c r="H13" s="115"/>
      <c r="I13" s="115">
        <f t="shared" ref="I13" si="3">I14+I17</f>
        <v>615078.45000000007</v>
      </c>
      <c r="J13" s="41">
        <f t="shared" si="1"/>
        <v>110.3187379811631</v>
      </c>
      <c r="K13" s="177" t="e">
        <f t="shared" si="2"/>
        <v>#DIV/0!</v>
      </c>
    </row>
    <row r="14" spans="2:11" ht="31.5" customHeight="1" x14ac:dyDescent="0.25">
      <c r="B14" s="102"/>
      <c r="C14" s="36"/>
      <c r="D14" s="36"/>
      <c r="E14" s="36">
        <v>6361</v>
      </c>
      <c r="F14" s="37" t="s">
        <v>53</v>
      </c>
      <c r="G14" s="115">
        <f>SUM(G15:G16)</f>
        <v>557546.67000000004</v>
      </c>
      <c r="H14" s="115"/>
      <c r="I14" s="115">
        <f t="shared" ref="I14" si="4">SUM(I15:I16)</f>
        <v>611566.67000000004</v>
      </c>
      <c r="J14" s="41">
        <f t="shared" si="1"/>
        <v>109.68887501381724</v>
      </c>
      <c r="K14" s="177" t="e">
        <f t="shared" si="2"/>
        <v>#DIV/0!</v>
      </c>
    </row>
    <row r="15" spans="2:11" ht="36.75" customHeight="1" x14ac:dyDescent="0.25">
      <c r="B15" s="102"/>
      <c r="C15" s="36"/>
      <c r="D15" s="36"/>
      <c r="E15" s="34">
        <v>63612</v>
      </c>
      <c r="F15" s="35" t="s">
        <v>54</v>
      </c>
      <c r="G15" s="42">
        <v>554546.67000000004</v>
      </c>
      <c r="H15" s="42"/>
      <c r="I15" s="43">
        <v>608566.67000000004</v>
      </c>
      <c r="J15" s="41">
        <f t="shared" si="1"/>
        <v>109.7412901244182</v>
      </c>
      <c r="K15" s="177" t="e">
        <f t="shared" si="2"/>
        <v>#DIV/0!</v>
      </c>
    </row>
    <row r="16" spans="2:11" ht="36.75" customHeight="1" x14ac:dyDescent="0.25">
      <c r="B16" s="102"/>
      <c r="C16" s="36"/>
      <c r="D16" s="36"/>
      <c r="E16" s="34">
        <v>63613</v>
      </c>
      <c r="F16" s="35" t="s">
        <v>55</v>
      </c>
      <c r="G16" s="42">
        <v>3000</v>
      </c>
      <c r="H16" s="42"/>
      <c r="I16" s="43">
        <v>3000</v>
      </c>
      <c r="J16" s="41">
        <f t="shared" si="1"/>
        <v>100</v>
      </c>
      <c r="K16" s="177" t="e">
        <f t="shared" si="2"/>
        <v>#DIV/0!</v>
      </c>
    </row>
    <row r="17" spans="2:15" ht="36.75" customHeight="1" x14ac:dyDescent="0.25">
      <c r="B17" s="102"/>
      <c r="C17" s="36"/>
      <c r="D17" s="36"/>
      <c r="E17" s="36">
        <v>6362</v>
      </c>
      <c r="F17" s="37" t="s">
        <v>56</v>
      </c>
      <c r="G17" s="115">
        <v>0</v>
      </c>
      <c r="H17" s="115"/>
      <c r="I17" s="116">
        <v>3511.78</v>
      </c>
      <c r="J17" s="41" t="e">
        <f t="shared" si="1"/>
        <v>#DIV/0!</v>
      </c>
      <c r="K17" s="177" t="e">
        <f t="shared" si="2"/>
        <v>#DIV/0!</v>
      </c>
    </row>
    <row r="18" spans="2:15" ht="36.75" customHeight="1" x14ac:dyDescent="0.25">
      <c r="B18" s="102"/>
      <c r="C18" s="36"/>
      <c r="D18" s="36">
        <v>639</v>
      </c>
      <c r="E18" s="36"/>
      <c r="F18" s="37" t="s">
        <v>57</v>
      </c>
      <c r="G18" s="115">
        <f>SUM(G19:G20)</f>
        <v>0</v>
      </c>
      <c r="H18" s="115"/>
      <c r="I18" s="115">
        <f t="shared" ref="I18" si="5">SUM(I19:I20)</f>
        <v>0</v>
      </c>
      <c r="J18" s="41" t="e">
        <f t="shared" si="1"/>
        <v>#DIV/0!</v>
      </c>
      <c r="K18" s="177" t="e">
        <f t="shared" si="2"/>
        <v>#DIV/0!</v>
      </c>
    </row>
    <row r="19" spans="2:15" ht="36.75" customHeight="1" x14ac:dyDescent="0.25">
      <c r="B19" s="102"/>
      <c r="C19" s="36"/>
      <c r="D19" s="36"/>
      <c r="E19" s="34">
        <v>6391</v>
      </c>
      <c r="F19" s="35" t="s">
        <v>58</v>
      </c>
      <c r="G19" s="42">
        <v>0</v>
      </c>
      <c r="H19" s="42"/>
      <c r="I19" s="43">
        <v>0</v>
      </c>
      <c r="J19" s="41" t="e">
        <f t="shared" si="1"/>
        <v>#DIV/0!</v>
      </c>
      <c r="K19" s="177" t="e">
        <f t="shared" si="2"/>
        <v>#DIV/0!</v>
      </c>
    </row>
    <row r="20" spans="2:15" ht="36.75" customHeight="1" x14ac:dyDescent="0.25">
      <c r="B20" s="102"/>
      <c r="C20" s="36"/>
      <c r="D20" s="36"/>
      <c r="E20" s="34">
        <v>6393</v>
      </c>
      <c r="F20" s="35" t="s">
        <v>59</v>
      </c>
      <c r="G20" s="42">
        <v>0</v>
      </c>
      <c r="H20" s="42"/>
      <c r="I20" s="43">
        <v>0</v>
      </c>
      <c r="J20" s="41" t="e">
        <f t="shared" si="1"/>
        <v>#DIV/0!</v>
      </c>
      <c r="K20" s="177" t="e">
        <f t="shared" si="2"/>
        <v>#DIV/0!</v>
      </c>
      <c r="O20" s="69"/>
    </row>
    <row r="21" spans="2:15" ht="47.25" x14ac:dyDescent="0.25">
      <c r="B21" s="164"/>
      <c r="C21" s="165">
        <v>65</v>
      </c>
      <c r="D21" s="166"/>
      <c r="E21" s="166"/>
      <c r="F21" s="167" t="s">
        <v>60</v>
      </c>
      <c r="G21" s="157">
        <f>G22</f>
        <v>850.33</v>
      </c>
      <c r="H21" s="157">
        <v>3450</v>
      </c>
      <c r="I21" s="157">
        <f>I22</f>
        <v>1244.8800000000001</v>
      </c>
      <c r="J21" s="176">
        <f t="shared" si="1"/>
        <v>146.39963308362636</v>
      </c>
      <c r="K21" s="178">
        <f t="shared" si="2"/>
        <v>36.083478260869569</v>
      </c>
      <c r="O21" s="69"/>
    </row>
    <row r="22" spans="2:15" ht="36.75" customHeight="1" x14ac:dyDescent="0.25">
      <c r="B22" s="102"/>
      <c r="C22" s="32"/>
      <c r="D22" s="30">
        <v>652</v>
      </c>
      <c r="E22" s="36"/>
      <c r="F22" s="30" t="s">
        <v>61</v>
      </c>
      <c r="G22" s="42">
        <f>G23</f>
        <v>850.33</v>
      </c>
      <c r="H22" s="42"/>
      <c r="I22" s="42">
        <f>I23</f>
        <v>1244.8800000000001</v>
      </c>
      <c r="J22" s="41">
        <f t="shared" si="1"/>
        <v>146.39963308362636</v>
      </c>
      <c r="K22" s="177" t="e">
        <f t="shared" si="2"/>
        <v>#DIV/0!</v>
      </c>
    </row>
    <row r="23" spans="2:15" ht="36.75" customHeight="1" x14ac:dyDescent="0.25">
      <c r="B23" s="102"/>
      <c r="C23" s="32"/>
      <c r="D23" s="36"/>
      <c r="E23" s="32">
        <v>6526</v>
      </c>
      <c r="F23" s="32" t="s">
        <v>62</v>
      </c>
      <c r="G23" s="43">
        <v>850.33</v>
      </c>
      <c r="H23" s="42"/>
      <c r="I23" s="43">
        <v>1244.8800000000001</v>
      </c>
      <c r="J23" s="41">
        <f t="shared" si="1"/>
        <v>146.39963308362636</v>
      </c>
      <c r="K23" s="177" t="e">
        <f t="shared" si="2"/>
        <v>#DIV/0!</v>
      </c>
    </row>
    <row r="24" spans="2:15" ht="36.75" customHeight="1" x14ac:dyDescent="0.25">
      <c r="B24" s="164"/>
      <c r="C24" s="165">
        <v>66</v>
      </c>
      <c r="D24" s="166"/>
      <c r="E24" s="166"/>
      <c r="F24" s="167" t="s">
        <v>63</v>
      </c>
      <c r="G24" s="157">
        <f>G25+G27</f>
        <v>11030.51</v>
      </c>
      <c r="H24" s="157">
        <v>14200</v>
      </c>
      <c r="I24" s="148">
        <f>SUM(I25+I27)</f>
        <v>9536.41</v>
      </c>
      <c r="J24" s="176">
        <f t="shared" si="1"/>
        <v>86.454842069858955</v>
      </c>
      <c r="K24" s="178">
        <f t="shared" si="2"/>
        <v>67.157816901408452</v>
      </c>
    </row>
    <row r="25" spans="2:15" ht="36.75" customHeight="1" x14ac:dyDescent="0.25">
      <c r="B25" s="102"/>
      <c r="C25" s="30"/>
      <c r="D25" s="30">
        <v>661</v>
      </c>
      <c r="E25" s="34"/>
      <c r="F25" s="31" t="s">
        <v>64</v>
      </c>
      <c r="G25" s="42">
        <v>11030.51</v>
      </c>
      <c r="H25" s="42">
        <v>0</v>
      </c>
      <c r="I25" s="43">
        <f>I26</f>
        <v>9536.41</v>
      </c>
      <c r="J25" s="41">
        <f t="shared" si="1"/>
        <v>86.454842069858955</v>
      </c>
      <c r="K25" s="177" t="e">
        <f t="shared" si="2"/>
        <v>#DIV/0!</v>
      </c>
    </row>
    <row r="26" spans="2:15" ht="36.75" customHeight="1" x14ac:dyDescent="0.25">
      <c r="B26" s="102"/>
      <c r="C26" s="30"/>
      <c r="D26" s="34"/>
      <c r="E26" s="32">
        <v>6615</v>
      </c>
      <c r="F26" s="33" t="s">
        <v>65</v>
      </c>
      <c r="G26" s="42">
        <v>11030.51</v>
      </c>
      <c r="H26" s="42">
        <v>0</v>
      </c>
      <c r="I26" s="43">
        <v>9536.41</v>
      </c>
      <c r="J26" s="41">
        <f t="shared" si="1"/>
        <v>86.454842069858955</v>
      </c>
      <c r="K26" s="177" t="e">
        <f t="shared" si="2"/>
        <v>#DIV/0!</v>
      </c>
      <c r="O26" s="69"/>
    </row>
    <row r="27" spans="2:15" ht="31.5" x14ac:dyDescent="0.25">
      <c r="B27" s="102"/>
      <c r="C27" s="30"/>
      <c r="D27" s="30">
        <v>663</v>
      </c>
      <c r="E27" s="34"/>
      <c r="F27" s="31" t="s">
        <v>66</v>
      </c>
      <c r="G27" s="42">
        <v>0</v>
      </c>
      <c r="H27" s="42">
        <v>0</v>
      </c>
      <c r="I27" s="43">
        <v>0</v>
      </c>
      <c r="J27" s="41" t="e">
        <f t="shared" si="1"/>
        <v>#DIV/0!</v>
      </c>
      <c r="K27" s="177" t="e">
        <f t="shared" si="2"/>
        <v>#DIV/0!</v>
      </c>
    </row>
    <row r="28" spans="2:15" ht="39.75" customHeight="1" x14ac:dyDescent="0.25">
      <c r="B28" s="164"/>
      <c r="C28" s="165">
        <v>67</v>
      </c>
      <c r="D28" s="166"/>
      <c r="E28" s="166"/>
      <c r="F28" s="167" t="s">
        <v>67</v>
      </c>
      <c r="G28" s="157">
        <f>G29</f>
        <v>99626.48</v>
      </c>
      <c r="H28" s="157">
        <v>142792.04999999999</v>
      </c>
      <c r="I28" s="148">
        <f>I29</f>
        <v>88352.24</v>
      </c>
      <c r="J28" s="176">
        <f t="shared" si="1"/>
        <v>88.683490573991989</v>
      </c>
      <c r="K28" s="178">
        <f t="shared" si="2"/>
        <v>61.874761234956722</v>
      </c>
    </row>
    <row r="29" spans="2:15" ht="47.25" x14ac:dyDescent="0.25">
      <c r="B29" s="102"/>
      <c r="C29" s="30"/>
      <c r="D29" s="30">
        <v>671</v>
      </c>
      <c r="E29" s="34"/>
      <c r="F29" s="31" t="s">
        <v>68</v>
      </c>
      <c r="G29" s="42">
        <f t="shared" ref="G29:I29" si="6">G30+G31</f>
        <v>99626.48</v>
      </c>
      <c r="H29" s="42">
        <v>0</v>
      </c>
      <c r="I29" s="42">
        <f t="shared" si="6"/>
        <v>88352.24</v>
      </c>
      <c r="J29" s="41">
        <f t="shared" si="1"/>
        <v>88.683490573991989</v>
      </c>
      <c r="K29" s="177" t="e">
        <f t="shared" si="2"/>
        <v>#DIV/0!</v>
      </c>
    </row>
    <row r="30" spans="2:15" ht="47.25" x14ac:dyDescent="0.25">
      <c r="B30" s="102"/>
      <c r="C30" s="32"/>
      <c r="D30" s="34"/>
      <c r="E30" s="32">
        <v>6711</v>
      </c>
      <c r="F30" s="33" t="s">
        <v>69</v>
      </c>
      <c r="G30" s="43">
        <v>97251.48</v>
      </c>
      <c r="H30" s="42">
        <v>0</v>
      </c>
      <c r="I30" s="43">
        <v>88352.24</v>
      </c>
      <c r="J30" s="41">
        <f t="shared" si="1"/>
        <v>90.849249800620015</v>
      </c>
      <c r="K30" s="177" t="e">
        <f t="shared" si="2"/>
        <v>#DIV/0!</v>
      </c>
    </row>
    <row r="31" spans="2:15" ht="47.25" x14ac:dyDescent="0.25">
      <c r="B31" s="181"/>
      <c r="C31" s="182"/>
      <c r="D31" s="126"/>
      <c r="E31" s="182">
        <v>6712</v>
      </c>
      <c r="F31" s="183" t="s">
        <v>70</v>
      </c>
      <c r="G31" s="184">
        <v>2375</v>
      </c>
      <c r="H31" s="184">
        <v>0</v>
      </c>
      <c r="I31" s="184">
        <v>0</v>
      </c>
      <c r="J31" s="185">
        <f t="shared" si="1"/>
        <v>0</v>
      </c>
      <c r="K31" s="186" t="e">
        <f t="shared" si="2"/>
        <v>#DIV/0!</v>
      </c>
    </row>
    <row r="32" spans="2:15" ht="15.75" x14ac:dyDescent="0.25">
      <c r="B32" s="261"/>
      <c r="C32" s="165">
        <v>68</v>
      </c>
      <c r="D32" s="166"/>
      <c r="E32" s="147"/>
      <c r="F32" s="167" t="s">
        <v>220</v>
      </c>
      <c r="G32" s="262">
        <v>3.98</v>
      </c>
      <c r="H32" s="262">
        <v>0</v>
      </c>
      <c r="I32" s="262">
        <v>0</v>
      </c>
      <c r="J32" s="263">
        <f t="shared" si="1"/>
        <v>0</v>
      </c>
      <c r="K32" s="264" t="e">
        <f t="shared" si="2"/>
        <v>#DIV/0!</v>
      </c>
    </row>
    <row r="33" spans="2:11" ht="16.5" thickBot="1" x14ac:dyDescent="0.3">
      <c r="B33" s="252"/>
      <c r="C33" s="32"/>
      <c r="D33" s="36">
        <v>683</v>
      </c>
      <c r="E33" s="30"/>
      <c r="F33" s="31" t="s">
        <v>221</v>
      </c>
      <c r="G33" s="257">
        <v>3.98</v>
      </c>
      <c r="H33" s="46">
        <v>0</v>
      </c>
      <c r="I33" s="46">
        <v>0</v>
      </c>
      <c r="J33" s="185">
        <f t="shared" si="1"/>
        <v>0</v>
      </c>
      <c r="K33" s="186" t="e">
        <f t="shared" si="2"/>
        <v>#DIV/0!</v>
      </c>
    </row>
    <row r="34" spans="2:11" ht="16.5" thickBot="1" x14ac:dyDescent="0.3">
      <c r="B34" s="253"/>
      <c r="C34" s="254"/>
      <c r="D34" s="255"/>
      <c r="E34" s="254">
        <v>6831</v>
      </c>
      <c r="F34" s="256" t="s">
        <v>221</v>
      </c>
      <c r="G34" s="257">
        <v>3.98</v>
      </c>
      <c r="H34" s="257">
        <v>0</v>
      </c>
      <c r="I34" s="257">
        <v>0</v>
      </c>
      <c r="J34" s="258">
        <f t="shared" si="1"/>
        <v>0</v>
      </c>
      <c r="K34" s="259" t="e">
        <f t="shared" si="2"/>
        <v>#DIV/0!</v>
      </c>
    </row>
    <row r="35" spans="2:11" x14ac:dyDescent="0.25">
      <c r="B35" s="260"/>
      <c r="C35" s="96"/>
      <c r="D35" s="260"/>
      <c r="E35" s="96"/>
      <c r="F35" s="96"/>
      <c r="G35" s="96"/>
      <c r="H35" s="96"/>
      <c r="I35" s="96"/>
      <c r="J35" s="96"/>
      <c r="K35" s="96"/>
    </row>
    <row r="36" spans="2:11" x14ac:dyDescent="0.25">
      <c r="B36" s="260"/>
      <c r="C36" s="96"/>
      <c r="D36" s="260"/>
      <c r="E36" s="96"/>
      <c r="F36" s="96"/>
      <c r="G36" s="96"/>
      <c r="H36" s="96"/>
      <c r="I36" s="96"/>
      <c r="J36" s="96"/>
      <c r="K36" s="96"/>
    </row>
    <row r="37" spans="2:11" ht="15.75" x14ac:dyDescent="0.25">
      <c r="B37" s="306" t="s">
        <v>208</v>
      </c>
      <c r="C37" s="307"/>
      <c r="D37" s="307"/>
      <c r="E37" s="307"/>
      <c r="F37" s="307"/>
      <c r="G37" s="307"/>
      <c r="H37" s="307"/>
      <c r="I37" s="307"/>
      <c r="J37" s="307"/>
      <c r="K37" s="308"/>
    </row>
    <row r="38" spans="2:11" ht="15.75" x14ac:dyDescent="0.25">
      <c r="B38" s="44"/>
      <c r="C38" s="30">
        <v>92</v>
      </c>
      <c r="D38" s="36"/>
      <c r="E38" s="32"/>
      <c r="F38" s="33"/>
      <c r="G38" s="340">
        <v>15377.2</v>
      </c>
      <c r="H38" s="341">
        <v>11855.27</v>
      </c>
      <c r="I38" s="116">
        <v>1808.25</v>
      </c>
      <c r="J38" s="342">
        <f>I38/G38*100</f>
        <v>11.759292979215981</v>
      </c>
      <c r="K38" s="341">
        <f>I38/H38*100</f>
        <v>15.252710397991779</v>
      </c>
    </row>
    <row r="39" spans="2:11" ht="15.75" x14ac:dyDescent="0.25">
      <c r="B39" s="44"/>
      <c r="C39" s="30"/>
      <c r="D39" s="36">
        <v>922</v>
      </c>
      <c r="E39" s="32"/>
      <c r="F39" s="33"/>
      <c r="G39" s="343">
        <v>15377.2</v>
      </c>
      <c r="H39" s="341">
        <v>11855.27</v>
      </c>
      <c r="I39" s="116">
        <v>1808.25</v>
      </c>
      <c r="J39" s="342">
        <f t="shared" ref="J39:J40" si="7">I39/G39*100</f>
        <v>11.759292979215981</v>
      </c>
      <c r="K39" s="341">
        <f t="shared" ref="K39:K40" si="8">I39/H39*100</f>
        <v>15.252710397991779</v>
      </c>
    </row>
    <row r="40" spans="2:11" ht="15.75" x14ac:dyDescent="0.25">
      <c r="B40" s="44"/>
      <c r="C40" s="32"/>
      <c r="D40" s="34"/>
      <c r="E40" s="32">
        <v>9221</v>
      </c>
      <c r="F40" s="33"/>
      <c r="G40" s="344">
        <v>15377.2</v>
      </c>
      <c r="H40" s="344">
        <v>11855.27</v>
      </c>
      <c r="I40" s="344">
        <v>1808.25</v>
      </c>
      <c r="J40" s="342">
        <f t="shared" si="7"/>
        <v>11.759292979215981</v>
      </c>
      <c r="K40" s="341">
        <f t="shared" si="8"/>
        <v>15.252710397991779</v>
      </c>
    </row>
    <row r="41" spans="2:11" ht="15.75" x14ac:dyDescent="0.25">
      <c r="B41" s="44"/>
      <c r="C41" s="32"/>
      <c r="D41" s="34"/>
      <c r="E41" s="32"/>
      <c r="F41" s="33"/>
      <c r="G41" s="344"/>
      <c r="H41" s="344"/>
      <c r="I41" s="344"/>
      <c r="J41" s="342"/>
      <c r="K41" s="341"/>
    </row>
    <row r="42" spans="2:11" ht="18" x14ac:dyDescent="0.25">
      <c r="B42" s="325"/>
      <c r="C42" s="326"/>
      <c r="D42" s="326"/>
      <c r="E42" s="326"/>
      <c r="F42" s="326"/>
      <c r="G42" s="326"/>
      <c r="H42" s="326"/>
      <c r="I42" s="326"/>
      <c r="J42" s="326"/>
      <c r="K42" s="327"/>
    </row>
    <row r="43" spans="2:11" ht="36.75" customHeight="1" x14ac:dyDescent="0.25">
      <c r="B43" s="317" t="s">
        <v>7</v>
      </c>
      <c r="C43" s="318"/>
      <c r="D43" s="318"/>
      <c r="E43" s="318"/>
      <c r="F43" s="319"/>
      <c r="G43" s="18" t="s">
        <v>48</v>
      </c>
      <c r="H43" s="18" t="s">
        <v>44</v>
      </c>
      <c r="I43" s="18" t="s">
        <v>45</v>
      </c>
      <c r="J43" s="18" t="s">
        <v>18</v>
      </c>
      <c r="K43" s="98" t="s">
        <v>34</v>
      </c>
    </row>
    <row r="44" spans="2:11" x14ac:dyDescent="0.25">
      <c r="B44" s="314">
        <v>1</v>
      </c>
      <c r="C44" s="315"/>
      <c r="D44" s="315"/>
      <c r="E44" s="315"/>
      <c r="F44" s="316"/>
      <c r="G44" s="20">
        <v>2</v>
      </c>
      <c r="H44" s="20">
        <v>3</v>
      </c>
      <c r="I44" s="20">
        <v>4</v>
      </c>
      <c r="J44" s="20" t="s">
        <v>206</v>
      </c>
      <c r="K44" s="99" t="s">
        <v>207</v>
      </c>
    </row>
    <row r="45" spans="2:11" ht="15.75" x14ac:dyDescent="0.25">
      <c r="B45" s="105"/>
      <c r="C45" s="106"/>
      <c r="D45" s="106"/>
      <c r="E45" s="107"/>
      <c r="F45" s="45" t="s">
        <v>32</v>
      </c>
      <c r="G45" s="115">
        <f>G46+G96</f>
        <v>670785.51</v>
      </c>
      <c r="H45" s="115">
        <f t="shared" ref="H45:I45" si="9">H46+H96</f>
        <v>1069910.1099999999</v>
      </c>
      <c r="I45" s="115">
        <f t="shared" si="9"/>
        <v>709856.28000000014</v>
      </c>
      <c r="J45" s="115">
        <f>I45/G45*100</f>
        <v>105.82462939606434</v>
      </c>
      <c r="K45" s="115">
        <f>I45/H45*100</f>
        <v>66.347282202988083</v>
      </c>
    </row>
    <row r="46" spans="2:11" ht="15.75" x14ac:dyDescent="0.25">
      <c r="B46" s="105">
        <v>3</v>
      </c>
      <c r="C46" s="106"/>
      <c r="D46" s="106"/>
      <c r="E46" s="107"/>
      <c r="F46" s="45" t="s">
        <v>4</v>
      </c>
      <c r="G46" s="115">
        <f>G47+G56+G85+G88+G92</f>
        <v>652958.05000000005</v>
      </c>
      <c r="H46" s="115">
        <f>H47+H56+H85+H88+H92</f>
        <v>1044110.1099999999</v>
      </c>
      <c r="I46" s="115">
        <f>I47+I56+I85+I88+I92</f>
        <v>706558.30000000016</v>
      </c>
      <c r="J46" s="115">
        <f t="shared" ref="J46:J94" si="10">I46/G46*100</f>
        <v>108.20883516176882</v>
      </c>
      <c r="K46" s="115">
        <f t="shared" ref="K46:K94" si="11">I46/H46*100</f>
        <v>67.670860882670723</v>
      </c>
    </row>
    <row r="47" spans="2:11" ht="15.75" x14ac:dyDescent="0.25">
      <c r="B47" s="105"/>
      <c r="C47" s="106">
        <v>31</v>
      </c>
      <c r="D47" s="108"/>
      <c r="E47" s="109"/>
      <c r="F47" s="45" t="s">
        <v>5</v>
      </c>
      <c r="G47" s="115">
        <f>G48+G52+G53</f>
        <v>517840.25</v>
      </c>
      <c r="H47" s="115">
        <f>H48+H52+H53</f>
        <v>784871.91999999993</v>
      </c>
      <c r="I47" s="115">
        <f t="shared" ref="I47" si="12">I48+I52+I53</f>
        <v>574519.79</v>
      </c>
      <c r="J47" s="115">
        <f t="shared" si="10"/>
        <v>110.94537166626195</v>
      </c>
      <c r="K47" s="115">
        <f t="shared" si="11"/>
        <v>73.19917751675969</v>
      </c>
    </row>
    <row r="48" spans="2:11" ht="15.75" x14ac:dyDescent="0.25">
      <c r="B48" s="110"/>
      <c r="C48" s="111"/>
      <c r="D48" s="112">
        <v>311</v>
      </c>
      <c r="E48" s="113"/>
      <c r="F48" s="44" t="s">
        <v>25</v>
      </c>
      <c r="G48" s="115">
        <f>SUM(G49:G51)</f>
        <v>423425.12</v>
      </c>
      <c r="H48" s="115">
        <f>645000+15853.44</f>
        <v>660853.43999999994</v>
      </c>
      <c r="I48" s="115">
        <f t="shared" ref="I48" si="13">SUM(I49:I51)</f>
        <v>473394.79</v>
      </c>
      <c r="J48" s="115">
        <f t="shared" si="10"/>
        <v>111.80130031019415</v>
      </c>
      <c r="K48" s="115">
        <f t="shared" si="11"/>
        <v>71.633854247622594</v>
      </c>
    </row>
    <row r="49" spans="2:13" ht="15.75" x14ac:dyDescent="0.25">
      <c r="B49" s="110"/>
      <c r="C49" s="111"/>
      <c r="D49" s="111"/>
      <c r="E49" s="113">
        <v>3111</v>
      </c>
      <c r="F49" s="34" t="s">
        <v>26</v>
      </c>
      <c r="G49" s="153">
        <v>423425.12</v>
      </c>
      <c r="H49" s="42"/>
      <c r="I49" s="153">
        <f>459813.99+13580.8</f>
        <v>473394.79</v>
      </c>
      <c r="J49" s="115">
        <f t="shared" si="10"/>
        <v>111.80130031019415</v>
      </c>
      <c r="K49" s="115" t="e">
        <f t="shared" si="11"/>
        <v>#DIV/0!</v>
      </c>
    </row>
    <row r="50" spans="2:13" ht="15.75" x14ac:dyDescent="0.25">
      <c r="B50" s="110"/>
      <c r="C50" s="111"/>
      <c r="D50" s="111"/>
      <c r="E50" s="113">
        <v>3113</v>
      </c>
      <c r="F50" s="34" t="s">
        <v>174</v>
      </c>
      <c r="G50" s="42">
        <v>0</v>
      </c>
      <c r="H50" s="42"/>
      <c r="I50" s="42">
        <v>0</v>
      </c>
      <c r="J50" s="115" t="e">
        <f t="shared" si="10"/>
        <v>#DIV/0!</v>
      </c>
      <c r="K50" s="115" t="e">
        <f t="shared" si="11"/>
        <v>#DIV/0!</v>
      </c>
    </row>
    <row r="51" spans="2:13" ht="15.75" x14ac:dyDescent="0.25">
      <c r="B51" s="110"/>
      <c r="C51" s="111"/>
      <c r="D51" s="111"/>
      <c r="E51" s="113">
        <v>3114</v>
      </c>
      <c r="F51" s="34" t="s">
        <v>175</v>
      </c>
      <c r="G51" s="42">
        <v>0</v>
      </c>
      <c r="H51" s="42"/>
      <c r="I51" s="42">
        <v>0</v>
      </c>
      <c r="J51" s="115" t="e">
        <f t="shared" si="10"/>
        <v>#DIV/0!</v>
      </c>
      <c r="K51" s="115" t="e">
        <f t="shared" si="11"/>
        <v>#DIV/0!</v>
      </c>
    </row>
    <row r="52" spans="2:13" ht="15.75" x14ac:dyDescent="0.25">
      <c r="B52" s="110"/>
      <c r="C52" s="111"/>
      <c r="D52" s="112">
        <v>312</v>
      </c>
      <c r="E52" s="114"/>
      <c r="F52" s="44" t="s">
        <v>109</v>
      </c>
      <c r="G52" s="116">
        <v>23039.52</v>
      </c>
      <c r="H52" s="115">
        <f>30000+945</f>
        <v>30945</v>
      </c>
      <c r="I52" s="116">
        <f>22714.82+300</f>
        <v>23014.82</v>
      </c>
      <c r="J52" s="115">
        <f t="shared" si="10"/>
        <v>99.892792905407745</v>
      </c>
      <c r="K52" s="115">
        <f t="shared" si="11"/>
        <v>74.373307481014706</v>
      </c>
    </row>
    <row r="53" spans="2:13" ht="15.75" x14ac:dyDescent="0.25">
      <c r="B53" s="110"/>
      <c r="C53" s="111"/>
      <c r="D53" s="112">
        <v>313</v>
      </c>
      <c r="E53" s="114"/>
      <c r="F53" s="44" t="s">
        <v>110</v>
      </c>
      <c r="G53" s="115">
        <f>G55+G54</f>
        <v>71375.61</v>
      </c>
      <c r="H53" s="115">
        <f>90500+2573.48</f>
        <v>93073.48</v>
      </c>
      <c r="I53" s="115">
        <f t="shared" ref="I53" si="14">SUM(I54:I55)</f>
        <v>78110.179999999993</v>
      </c>
      <c r="J53" s="115">
        <f t="shared" si="10"/>
        <v>109.43539396721091</v>
      </c>
      <c r="K53" s="115">
        <f t="shared" si="11"/>
        <v>83.923132561498718</v>
      </c>
      <c r="M53" s="69"/>
    </row>
    <row r="54" spans="2:13" ht="15.75" x14ac:dyDescent="0.25">
      <c r="B54" s="110"/>
      <c r="C54" s="111"/>
      <c r="D54" s="113"/>
      <c r="E54" s="113">
        <v>3132</v>
      </c>
      <c r="F54" s="34" t="s">
        <v>151</v>
      </c>
      <c r="G54" s="43">
        <v>71375.61</v>
      </c>
      <c r="H54" s="42"/>
      <c r="I54" s="43">
        <f>75869.34+2240.84</f>
        <v>78110.179999999993</v>
      </c>
      <c r="J54" s="115">
        <f t="shared" si="10"/>
        <v>109.43539396721091</v>
      </c>
      <c r="K54" s="115" t="e">
        <f t="shared" si="11"/>
        <v>#DIV/0!</v>
      </c>
    </row>
    <row r="55" spans="2:13" ht="33" customHeight="1" x14ac:dyDescent="0.25">
      <c r="B55" s="110"/>
      <c r="C55" s="111"/>
      <c r="D55" s="111"/>
      <c r="E55" s="113">
        <v>3133</v>
      </c>
      <c r="F55" s="35" t="s">
        <v>176</v>
      </c>
      <c r="G55" s="43">
        <v>0</v>
      </c>
      <c r="H55" s="42"/>
      <c r="I55" s="43">
        <v>0</v>
      </c>
      <c r="J55" s="115" t="e">
        <f t="shared" si="10"/>
        <v>#DIV/0!</v>
      </c>
      <c r="K55" s="115" t="e">
        <f t="shared" si="11"/>
        <v>#DIV/0!</v>
      </c>
    </row>
    <row r="56" spans="2:13" ht="15.75" x14ac:dyDescent="0.25">
      <c r="B56" s="110"/>
      <c r="C56" s="112">
        <v>32</v>
      </c>
      <c r="D56" s="111"/>
      <c r="E56" s="113"/>
      <c r="F56" s="145" t="s">
        <v>10</v>
      </c>
      <c r="G56" s="115">
        <f>G57+G62+G69+G78</f>
        <v>135117.79999999999</v>
      </c>
      <c r="H56" s="115">
        <f>H57+H62+H69+H78</f>
        <v>241713.19</v>
      </c>
      <c r="I56" s="115">
        <f t="shared" ref="I56" si="15">I57+I62+I69+I78</f>
        <v>131304.31</v>
      </c>
      <c r="J56" s="115">
        <f t="shared" si="10"/>
        <v>97.177655349628253</v>
      </c>
      <c r="K56" s="115">
        <f t="shared" si="11"/>
        <v>54.322360314718445</v>
      </c>
    </row>
    <row r="57" spans="2:13" ht="15.75" x14ac:dyDescent="0.25">
      <c r="B57" s="110"/>
      <c r="C57" s="112"/>
      <c r="D57" s="112">
        <v>321</v>
      </c>
      <c r="E57" s="112"/>
      <c r="F57" s="44" t="s">
        <v>177</v>
      </c>
      <c r="G57" s="115">
        <f>SUM(G58:G61)</f>
        <v>18610.91</v>
      </c>
      <c r="H57" s="115">
        <f>3000+300+1300+45000+1000+1185.39</f>
        <v>51785.39</v>
      </c>
      <c r="I57" s="115">
        <f>SUM(I58:I61)</f>
        <v>18622.93</v>
      </c>
      <c r="J57" s="115">
        <f t="shared" si="10"/>
        <v>100.06458577253881</v>
      </c>
      <c r="K57" s="115">
        <f t="shared" si="11"/>
        <v>35.961745194928532</v>
      </c>
    </row>
    <row r="58" spans="2:13" ht="15.75" x14ac:dyDescent="0.25">
      <c r="B58" s="110"/>
      <c r="C58" s="112"/>
      <c r="D58" s="112"/>
      <c r="E58" s="113">
        <v>3211</v>
      </c>
      <c r="F58" s="34" t="s">
        <v>27</v>
      </c>
      <c r="G58" s="42">
        <v>2354.9700000000003</v>
      </c>
      <c r="H58" s="42"/>
      <c r="I58" s="153">
        <f>1601.55</f>
        <v>1601.55</v>
      </c>
      <c r="J58" s="115">
        <f t="shared" si="10"/>
        <v>68.007235760965102</v>
      </c>
      <c r="K58" s="115" t="e">
        <f t="shared" si="11"/>
        <v>#DIV/0!</v>
      </c>
    </row>
    <row r="59" spans="2:13" ht="30.75" customHeight="1" x14ac:dyDescent="0.25">
      <c r="B59" s="110"/>
      <c r="C59" s="111"/>
      <c r="D59" s="113"/>
      <c r="E59" s="113" t="s">
        <v>171</v>
      </c>
      <c r="F59" s="35" t="s">
        <v>178</v>
      </c>
      <c r="G59" s="42">
        <v>15826.14</v>
      </c>
      <c r="H59" s="42"/>
      <c r="I59" s="43">
        <f>15772.25+602.13</f>
        <v>16374.38</v>
      </c>
      <c r="J59" s="115">
        <f t="shared" si="10"/>
        <v>103.46414223556724</v>
      </c>
      <c r="K59" s="115" t="e">
        <f t="shared" si="11"/>
        <v>#DIV/0!</v>
      </c>
    </row>
    <row r="60" spans="2:13" ht="24" customHeight="1" x14ac:dyDescent="0.25">
      <c r="B60" s="110"/>
      <c r="C60" s="111"/>
      <c r="D60" s="113"/>
      <c r="E60" s="113">
        <v>3213</v>
      </c>
      <c r="F60" s="35" t="s">
        <v>77</v>
      </c>
      <c r="G60" s="42">
        <v>55</v>
      </c>
      <c r="H60" s="42"/>
      <c r="I60" s="43">
        <f>110</f>
        <v>110</v>
      </c>
      <c r="J60" s="115">
        <f t="shared" si="10"/>
        <v>200</v>
      </c>
      <c r="K60" s="115" t="e">
        <f t="shared" si="11"/>
        <v>#DIV/0!</v>
      </c>
    </row>
    <row r="61" spans="2:13" ht="24" customHeight="1" x14ac:dyDescent="0.25">
      <c r="B61" s="110"/>
      <c r="C61" s="111"/>
      <c r="D61" s="113"/>
      <c r="E61" s="113">
        <v>3214</v>
      </c>
      <c r="F61" s="35" t="s">
        <v>78</v>
      </c>
      <c r="G61" s="42">
        <v>374.8</v>
      </c>
      <c r="H61" s="42"/>
      <c r="I61" s="43">
        <v>537</v>
      </c>
      <c r="J61" s="115">
        <f t="shared" si="10"/>
        <v>143.27641408751333</v>
      </c>
      <c r="K61" s="115" t="e">
        <f t="shared" si="11"/>
        <v>#DIV/0!</v>
      </c>
    </row>
    <row r="62" spans="2:13" ht="15.75" x14ac:dyDescent="0.25">
      <c r="B62" s="117"/>
      <c r="C62" s="118"/>
      <c r="D62" s="118">
        <v>322</v>
      </c>
      <c r="E62" s="119"/>
      <c r="F62" s="120" t="s">
        <v>179</v>
      </c>
      <c r="G62" s="115">
        <f>SUM(G63:G68)</f>
        <v>56281.31</v>
      </c>
      <c r="H62" s="115">
        <f>7753.92+650+33500+2000+1000+500+4620+6168.72+2500+3000+29124.34</f>
        <v>90816.98</v>
      </c>
      <c r="I62" s="115">
        <f>SUM(I63:I68)</f>
        <v>44637.539999999994</v>
      </c>
      <c r="J62" s="115">
        <f t="shared" si="10"/>
        <v>79.311480134346539</v>
      </c>
      <c r="K62" s="115">
        <f t="shared" si="11"/>
        <v>49.151094872346555</v>
      </c>
    </row>
    <row r="63" spans="2:13" ht="15.75" x14ac:dyDescent="0.25">
      <c r="B63" s="121"/>
      <c r="C63" s="108"/>
      <c r="D63" s="108"/>
      <c r="E63" s="109" t="s">
        <v>172</v>
      </c>
      <c r="F63" s="122" t="s">
        <v>153</v>
      </c>
      <c r="G63" s="43">
        <f>4626.67+819.25</f>
        <v>5445.92</v>
      </c>
      <c r="H63" s="42"/>
      <c r="I63" s="43">
        <f>2799.86+616.22</f>
        <v>3416.08</v>
      </c>
      <c r="J63" s="115">
        <f t="shared" si="10"/>
        <v>62.727326145077413</v>
      </c>
      <c r="K63" s="115" t="e">
        <f t="shared" si="11"/>
        <v>#DIV/0!</v>
      </c>
    </row>
    <row r="64" spans="2:13" ht="15.75" x14ac:dyDescent="0.25">
      <c r="B64" s="121"/>
      <c r="C64" s="108"/>
      <c r="D64" s="111"/>
      <c r="E64" s="113" t="s">
        <v>173</v>
      </c>
      <c r="F64" s="34" t="s">
        <v>80</v>
      </c>
      <c r="G64" s="43">
        <f>365.22+592.36+27726.94</f>
        <v>28684.52</v>
      </c>
      <c r="H64" s="42"/>
      <c r="I64" s="43">
        <f>82.77+142.59+23467.41</f>
        <v>23692.77</v>
      </c>
      <c r="J64" s="115">
        <f t="shared" si="10"/>
        <v>82.597756559984276</v>
      </c>
      <c r="K64" s="115" t="e">
        <f t="shared" si="11"/>
        <v>#DIV/0!</v>
      </c>
    </row>
    <row r="65" spans="2:11" ht="15.75" x14ac:dyDescent="0.25">
      <c r="B65" s="123"/>
      <c r="C65" s="124"/>
      <c r="D65" s="124"/>
      <c r="E65" s="125">
        <v>3223</v>
      </c>
      <c r="F65" s="126" t="s">
        <v>180</v>
      </c>
      <c r="G65" s="128">
        <f>17586.28</f>
        <v>17586.28</v>
      </c>
      <c r="H65" s="127"/>
      <c r="I65" s="128">
        <v>12272.31</v>
      </c>
      <c r="J65" s="115">
        <f t="shared" si="10"/>
        <v>69.783433449257032</v>
      </c>
      <c r="K65" s="115" t="e">
        <f t="shared" si="11"/>
        <v>#DIV/0!</v>
      </c>
    </row>
    <row r="66" spans="2:11" ht="15.75" x14ac:dyDescent="0.25">
      <c r="B66" s="129"/>
      <c r="C66" s="129"/>
      <c r="D66" s="129"/>
      <c r="E66" s="130">
        <v>3224</v>
      </c>
      <c r="F66" s="32" t="s">
        <v>83</v>
      </c>
      <c r="G66" s="43">
        <f>1055.2+1135.36+312.5</f>
        <v>2503.06</v>
      </c>
      <c r="H66" s="43"/>
      <c r="I66" s="43">
        <f>1161.67+2413.69</f>
        <v>3575.36</v>
      </c>
      <c r="J66" s="115">
        <f t="shared" si="10"/>
        <v>142.8395643732072</v>
      </c>
      <c r="K66" s="115" t="e">
        <f t="shared" si="11"/>
        <v>#DIV/0!</v>
      </c>
    </row>
    <row r="67" spans="2:11" ht="15.75" x14ac:dyDescent="0.25">
      <c r="B67" s="129"/>
      <c r="C67" s="129"/>
      <c r="D67" s="129"/>
      <c r="E67" s="130">
        <v>3225</v>
      </c>
      <c r="F67" s="32" t="s">
        <v>181</v>
      </c>
      <c r="G67" s="43">
        <f>24.63+2036.9</f>
        <v>2061.5300000000002</v>
      </c>
      <c r="H67" s="43"/>
      <c r="I67" s="43">
        <f>545.17+1135.85</f>
        <v>1681.02</v>
      </c>
      <c r="J67" s="115">
        <f t="shared" si="10"/>
        <v>81.542349614121548</v>
      </c>
      <c r="K67" s="115" t="e">
        <f t="shared" si="11"/>
        <v>#DIV/0!</v>
      </c>
    </row>
    <row r="68" spans="2:11" ht="15.75" x14ac:dyDescent="0.25">
      <c r="B68" s="129"/>
      <c r="C68" s="129"/>
      <c r="D68" s="129"/>
      <c r="E68" s="130">
        <v>3227</v>
      </c>
      <c r="F68" s="32" t="s">
        <v>196</v>
      </c>
      <c r="G68" s="43">
        <v>0</v>
      </c>
      <c r="H68" s="43"/>
      <c r="I68" s="43">
        <v>0</v>
      </c>
      <c r="J68" s="115" t="e">
        <f t="shared" si="10"/>
        <v>#DIV/0!</v>
      </c>
      <c r="K68" s="115" t="e">
        <f t="shared" si="11"/>
        <v>#DIV/0!</v>
      </c>
    </row>
    <row r="69" spans="2:11" ht="15.75" x14ac:dyDescent="0.25">
      <c r="B69" s="131"/>
      <c r="C69" s="131"/>
      <c r="D69" s="131">
        <v>323</v>
      </c>
      <c r="E69" s="132"/>
      <c r="F69" s="133" t="s">
        <v>182</v>
      </c>
      <c r="G69" s="134">
        <f>SUM(G70:G77)</f>
        <v>57468.859999999993</v>
      </c>
      <c r="H69" s="134">
        <f>1550+2000+6000+51822.47+3600+500+1775+250+2193.33+12050+4000+1200+730.02</f>
        <v>87670.82</v>
      </c>
      <c r="I69" s="134">
        <f>SUM(I70:I77)</f>
        <v>63650.630000000005</v>
      </c>
      <c r="J69" s="115">
        <f t="shared" si="10"/>
        <v>110.75672981854872</v>
      </c>
      <c r="K69" s="115">
        <f t="shared" si="11"/>
        <v>72.601841753048504</v>
      </c>
    </row>
    <row r="70" spans="2:11" ht="15.75" x14ac:dyDescent="0.25">
      <c r="B70" s="131"/>
      <c r="C70" s="131"/>
      <c r="D70" s="131"/>
      <c r="E70" s="135">
        <v>3231</v>
      </c>
      <c r="F70" s="142" t="s">
        <v>85</v>
      </c>
      <c r="G70" s="144">
        <v>769.03</v>
      </c>
      <c r="H70" s="144"/>
      <c r="I70" s="144">
        <v>688.43</v>
      </c>
      <c r="J70" s="115">
        <f t="shared" si="10"/>
        <v>89.519264528041816</v>
      </c>
      <c r="K70" s="115" t="e">
        <f t="shared" si="11"/>
        <v>#DIV/0!</v>
      </c>
    </row>
    <row r="71" spans="2:11" ht="15.75" x14ac:dyDescent="0.25">
      <c r="B71" s="129"/>
      <c r="C71" s="129"/>
      <c r="D71" s="129"/>
      <c r="E71" s="130">
        <v>3232</v>
      </c>
      <c r="F71" s="32" t="s">
        <v>183</v>
      </c>
      <c r="G71" s="43">
        <f>1524.85+3294.26+961.1</f>
        <v>5780.2100000000009</v>
      </c>
      <c r="H71" s="43"/>
      <c r="I71" s="43">
        <f>1933.88+2306.5+2193.33</f>
        <v>6433.71</v>
      </c>
      <c r="J71" s="115">
        <f t="shared" si="10"/>
        <v>111.30581760870277</v>
      </c>
      <c r="K71" s="115" t="e">
        <f t="shared" si="11"/>
        <v>#DIV/0!</v>
      </c>
    </row>
    <row r="72" spans="2:11" ht="15.75" x14ac:dyDescent="0.25">
      <c r="B72" s="129"/>
      <c r="C72" s="129"/>
      <c r="D72" s="129"/>
      <c r="E72" s="130">
        <v>3234</v>
      </c>
      <c r="F72" s="32" t="s">
        <v>88</v>
      </c>
      <c r="G72" s="43">
        <f>3193.3+1567.49</f>
        <v>4760.79</v>
      </c>
      <c r="H72" s="43"/>
      <c r="I72" s="43">
        <f>3041.25+914.38</f>
        <v>3955.63</v>
      </c>
      <c r="J72" s="115">
        <f t="shared" si="10"/>
        <v>83.087680826081396</v>
      </c>
      <c r="K72" s="115" t="e">
        <f t="shared" si="11"/>
        <v>#DIV/0!</v>
      </c>
    </row>
    <row r="73" spans="2:11" ht="15.75" x14ac:dyDescent="0.25">
      <c r="B73" s="129"/>
      <c r="C73" s="129"/>
      <c r="D73" s="129"/>
      <c r="E73" s="130">
        <v>3235</v>
      </c>
      <c r="F73" s="32" t="s">
        <v>125</v>
      </c>
      <c r="G73" s="43">
        <f>42300+500+100</f>
        <v>42900</v>
      </c>
      <c r="H73" s="43"/>
      <c r="I73" s="43">
        <f>51022.47</f>
        <v>51022.47</v>
      </c>
      <c r="J73" s="115">
        <f t="shared" si="10"/>
        <v>118.93349650349651</v>
      </c>
      <c r="K73" s="115" t="e">
        <f t="shared" si="11"/>
        <v>#DIV/0!</v>
      </c>
    </row>
    <row r="74" spans="2:11" ht="15.75" x14ac:dyDescent="0.25">
      <c r="B74" s="129"/>
      <c r="C74" s="129"/>
      <c r="D74" s="129"/>
      <c r="E74" s="130">
        <v>3236</v>
      </c>
      <c r="F74" s="32" t="s">
        <v>91</v>
      </c>
      <c r="G74" s="43">
        <v>1568.75</v>
      </c>
      <c r="H74" s="43"/>
      <c r="I74" s="43">
        <v>128.78</v>
      </c>
      <c r="J74" s="115">
        <f t="shared" si="10"/>
        <v>8.2090836653386461</v>
      </c>
      <c r="K74" s="115" t="e">
        <f t="shared" si="11"/>
        <v>#DIV/0!</v>
      </c>
    </row>
    <row r="75" spans="2:11" ht="15.75" x14ac:dyDescent="0.25">
      <c r="B75" s="129"/>
      <c r="C75" s="129"/>
      <c r="D75" s="129"/>
      <c r="E75" s="130">
        <v>3237</v>
      </c>
      <c r="F75" s="32" t="s">
        <v>184</v>
      </c>
      <c r="G75" s="43">
        <f>335+464.56</f>
        <v>799.56</v>
      </c>
      <c r="H75" s="43"/>
      <c r="I75" s="43">
        <v>730.02</v>
      </c>
      <c r="J75" s="115">
        <f t="shared" si="10"/>
        <v>91.302716494071746</v>
      </c>
      <c r="K75" s="115" t="e">
        <f t="shared" si="11"/>
        <v>#DIV/0!</v>
      </c>
    </row>
    <row r="76" spans="2:11" ht="15.75" x14ac:dyDescent="0.25">
      <c r="B76" s="129"/>
      <c r="C76" s="129"/>
      <c r="D76" s="129"/>
      <c r="E76" s="130">
        <v>3238</v>
      </c>
      <c r="F76" s="32" t="s">
        <v>93</v>
      </c>
      <c r="G76" s="43">
        <v>803.17</v>
      </c>
      <c r="H76" s="43"/>
      <c r="I76" s="43">
        <v>609.91</v>
      </c>
      <c r="J76" s="115">
        <f t="shared" si="10"/>
        <v>75.937846284099251</v>
      </c>
      <c r="K76" s="115" t="e">
        <f t="shared" si="11"/>
        <v>#DIV/0!</v>
      </c>
    </row>
    <row r="77" spans="2:11" ht="15.75" x14ac:dyDescent="0.25">
      <c r="B77" s="129"/>
      <c r="C77" s="129"/>
      <c r="D77" s="129"/>
      <c r="E77" s="130">
        <v>3239</v>
      </c>
      <c r="F77" s="32" t="s">
        <v>94</v>
      </c>
      <c r="G77" s="43">
        <v>87.35</v>
      </c>
      <c r="H77" s="43"/>
      <c r="I77" s="43">
        <v>81.680000000000007</v>
      </c>
      <c r="J77" s="115">
        <f t="shared" si="10"/>
        <v>93.50887235260447</v>
      </c>
      <c r="K77" s="115" t="e">
        <f t="shared" si="11"/>
        <v>#DIV/0!</v>
      </c>
    </row>
    <row r="78" spans="2:11" ht="15.75" x14ac:dyDescent="0.25">
      <c r="B78" s="129"/>
      <c r="C78" s="129"/>
      <c r="D78" s="136">
        <v>329</v>
      </c>
      <c r="E78" s="137"/>
      <c r="F78" s="138" t="s">
        <v>97</v>
      </c>
      <c r="G78" s="116">
        <f>SUM(G79:G84)</f>
        <v>2756.7200000000003</v>
      </c>
      <c r="H78" s="116">
        <f>600+240+100+3000+800+3000+3700</f>
        <v>11440</v>
      </c>
      <c r="I78" s="116">
        <f>SUM(I79:I84)</f>
        <v>4393.21</v>
      </c>
      <c r="J78" s="115">
        <f t="shared" si="10"/>
        <v>159.36366406454044</v>
      </c>
      <c r="K78" s="115">
        <f t="shared" si="11"/>
        <v>38.402185314685319</v>
      </c>
    </row>
    <row r="79" spans="2:11" ht="15.75" x14ac:dyDescent="0.25">
      <c r="B79" s="129"/>
      <c r="C79" s="129"/>
      <c r="D79" s="129"/>
      <c r="E79" s="130">
        <v>3292</v>
      </c>
      <c r="F79" s="32" t="s">
        <v>95</v>
      </c>
      <c r="G79" s="43">
        <v>149.6</v>
      </c>
      <c r="H79" s="43"/>
      <c r="I79" s="43">
        <v>151.71</v>
      </c>
      <c r="J79" s="115">
        <f t="shared" si="10"/>
        <v>101.41042780748664</v>
      </c>
      <c r="K79" s="115" t="e">
        <f t="shared" si="11"/>
        <v>#DIV/0!</v>
      </c>
    </row>
    <row r="80" spans="2:11" ht="15.75" x14ac:dyDescent="0.25">
      <c r="B80" s="129"/>
      <c r="C80" s="129"/>
      <c r="D80" s="129"/>
      <c r="E80" s="130">
        <v>3293</v>
      </c>
      <c r="F80" s="103" t="s">
        <v>131</v>
      </c>
      <c r="G80" s="43">
        <v>0</v>
      </c>
      <c r="H80" s="43"/>
      <c r="I80" s="43">
        <v>0</v>
      </c>
      <c r="J80" s="115" t="e">
        <f t="shared" si="10"/>
        <v>#DIV/0!</v>
      </c>
      <c r="K80" s="115" t="e">
        <f t="shared" si="11"/>
        <v>#DIV/0!</v>
      </c>
    </row>
    <row r="81" spans="2:11" ht="15.75" x14ac:dyDescent="0.25">
      <c r="B81" s="129"/>
      <c r="C81" s="129"/>
      <c r="D81" s="129"/>
      <c r="E81" s="130">
        <v>3294</v>
      </c>
      <c r="F81" s="103" t="s">
        <v>185</v>
      </c>
      <c r="G81" s="43">
        <v>133.09</v>
      </c>
      <c r="H81" s="43"/>
      <c r="I81" s="43">
        <v>205</v>
      </c>
      <c r="J81" s="115">
        <f t="shared" si="10"/>
        <v>154.031106769855</v>
      </c>
      <c r="K81" s="115" t="e">
        <f t="shared" si="11"/>
        <v>#DIV/0!</v>
      </c>
    </row>
    <row r="82" spans="2:11" ht="15.75" x14ac:dyDescent="0.25">
      <c r="B82" s="129"/>
      <c r="C82" s="129"/>
      <c r="D82" s="129"/>
      <c r="E82" s="130">
        <v>3295</v>
      </c>
      <c r="F82" s="103" t="s">
        <v>186</v>
      </c>
      <c r="G82" s="43">
        <v>1960</v>
      </c>
      <c r="H82" s="43"/>
      <c r="I82" s="43">
        <v>3576.5</v>
      </c>
      <c r="J82" s="115">
        <f t="shared" si="10"/>
        <v>182.47448979591837</v>
      </c>
      <c r="K82" s="115" t="e">
        <f t="shared" si="11"/>
        <v>#DIV/0!</v>
      </c>
    </row>
    <row r="83" spans="2:11" ht="15.75" x14ac:dyDescent="0.25">
      <c r="B83" s="129"/>
      <c r="C83" s="129"/>
      <c r="D83" s="129"/>
      <c r="E83" s="130">
        <v>3296</v>
      </c>
      <c r="F83" s="103" t="s">
        <v>121</v>
      </c>
      <c r="G83" s="43">
        <v>0</v>
      </c>
      <c r="H83" s="43"/>
      <c r="I83" s="43">
        <v>0</v>
      </c>
      <c r="J83" s="115" t="e">
        <f t="shared" si="10"/>
        <v>#DIV/0!</v>
      </c>
      <c r="K83" s="115" t="e">
        <f t="shared" si="11"/>
        <v>#DIV/0!</v>
      </c>
    </row>
    <row r="84" spans="2:11" ht="15.75" x14ac:dyDescent="0.25">
      <c r="B84" s="103"/>
      <c r="C84" s="103"/>
      <c r="D84" s="103"/>
      <c r="E84" s="32">
        <v>3299</v>
      </c>
      <c r="F84" s="103" t="s">
        <v>97</v>
      </c>
      <c r="G84" s="43">
        <v>514.03</v>
      </c>
      <c r="H84" s="43"/>
      <c r="I84" s="43">
        <f>60+400</f>
        <v>460</v>
      </c>
      <c r="J84" s="115">
        <f t="shared" si="10"/>
        <v>89.488940334221752</v>
      </c>
      <c r="K84" s="115" t="e">
        <f t="shared" si="11"/>
        <v>#DIV/0!</v>
      </c>
    </row>
    <row r="85" spans="2:11" ht="15.75" x14ac:dyDescent="0.25">
      <c r="B85" s="103"/>
      <c r="C85" s="138">
        <v>34</v>
      </c>
      <c r="D85" s="138"/>
      <c r="E85" s="30"/>
      <c r="F85" s="138" t="s">
        <v>187</v>
      </c>
      <c r="G85" s="116">
        <f>G86</f>
        <v>0</v>
      </c>
      <c r="H85" s="116">
        <v>70</v>
      </c>
      <c r="I85" s="116">
        <f>I86</f>
        <v>0</v>
      </c>
      <c r="J85" s="115" t="e">
        <f t="shared" si="10"/>
        <v>#DIV/0!</v>
      </c>
      <c r="K85" s="115">
        <f t="shared" si="11"/>
        <v>0</v>
      </c>
    </row>
    <row r="86" spans="2:11" ht="15.75" x14ac:dyDescent="0.25">
      <c r="B86" s="103"/>
      <c r="C86" s="138"/>
      <c r="D86" s="138">
        <v>343</v>
      </c>
      <c r="E86" s="30"/>
      <c r="F86" s="138" t="s">
        <v>188</v>
      </c>
      <c r="G86" s="116">
        <f>G87</f>
        <v>0</v>
      </c>
      <c r="H86" s="116">
        <v>70</v>
      </c>
      <c r="I86" s="116">
        <f>I87</f>
        <v>0</v>
      </c>
      <c r="J86" s="115" t="e">
        <f t="shared" si="10"/>
        <v>#DIV/0!</v>
      </c>
      <c r="K86" s="115">
        <f t="shared" si="11"/>
        <v>0</v>
      </c>
    </row>
    <row r="87" spans="2:11" ht="15.75" x14ac:dyDescent="0.25">
      <c r="B87" s="103"/>
      <c r="C87" s="103"/>
      <c r="D87" s="103"/>
      <c r="E87" s="32">
        <v>3433</v>
      </c>
      <c r="F87" s="103" t="s">
        <v>189</v>
      </c>
      <c r="G87" s="43">
        <v>0</v>
      </c>
      <c r="H87" s="43"/>
      <c r="I87" s="43">
        <v>0</v>
      </c>
      <c r="J87" s="115" t="e">
        <f t="shared" si="10"/>
        <v>#DIV/0!</v>
      </c>
      <c r="K87" s="115" t="e">
        <f t="shared" si="11"/>
        <v>#DIV/0!</v>
      </c>
    </row>
    <row r="88" spans="2:11" ht="42" customHeight="1" x14ac:dyDescent="0.25">
      <c r="B88" s="103"/>
      <c r="C88" s="138">
        <v>37</v>
      </c>
      <c r="D88" s="138"/>
      <c r="E88" s="30"/>
      <c r="F88" s="143" t="s">
        <v>190</v>
      </c>
      <c r="G88" s="116">
        <f>G89</f>
        <v>0</v>
      </c>
      <c r="H88" s="116">
        <v>17000</v>
      </c>
      <c r="I88" s="116">
        <f>I89</f>
        <v>281.52</v>
      </c>
      <c r="J88" s="115" t="e">
        <f t="shared" si="10"/>
        <v>#DIV/0!</v>
      </c>
      <c r="K88" s="115">
        <f t="shared" si="11"/>
        <v>1.6559999999999999</v>
      </c>
    </row>
    <row r="89" spans="2:11" ht="33" customHeight="1" x14ac:dyDescent="0.25">
      <c r="B89" s="103"/>
      <c r="C89" s="138"/>
      <c r="D89" s="138">
        <v>372</v>
      </c>
      <c r="E89" s="30"/>
      <c r="F89" s="143" t="s">
        <v>191</v>
      </c>
      <c r="G89" s="116">
        <f>SUM(G90:G91)</f>
        <v>0</v>
      </c>
      <c r="H89" s="116">
        <v>17000</v>
      </c>
      <c r="I89" s="116">
        <f t="shared" ref="I89" si="16">SUM(I90:I91)</f>
        <v>281.52</v>
      </c>
      <c r="J89" s="115" t="e">
        <f t="shared" si="10"/>
        <v>#DIV/0!</v>
      </c>
      <c r="K89" s="115">
        <f t="shared" si="11"/>
        <v>1.6559999999999999</v>
      </c>
    </row>
    <row r="90" spans="2:11" ht="15.75" x14ac:dyDescent="0.25">
      <c r="B90" s="103"/>
      <c r="C90" s="103"/>
      <c r="D90" s="103"/>
      <c r="E90" s="32">
        <v>3721</v>
      </c>
      <c r="F90" s="32" t="s">
        <v>192</v>
      </c>
      <c r="G90" s="43">
        <v>0</v>
      </c>
      <c r="H90" s="43"/>
      <c r="I90" s="43">
        <v>0</v>
      </c>
      <c r="J90" s="115" t="e">
        <f t="shared" si="10"/>
        <v>#DIV/0!</v>
      </c>
      <c r="K90" s="115" t="e">
        <f t="shared" si="11"/>
        <v>#DIV/0!</v>
      </c>
    </row>
    <row r="91" spans="2:11" ht="15.75" x14ac:dyDescent="0.25">
      <c r="B91" s="103"/>
      <c r="C91" s="103"/>
      <c r="D91" s="103"/>
      <c r="E91" s="32">
        <v>3722</v>
      </c>
      <c r="F91" s="32" t="s">
        <v>193</v>
      </c>
      <c r="G91" s="43">
        <v>0</v>
      </c>
      <c r="H91" s="43"/>
      <c r="I91" s="43">
        <v>281.52</v>
      </c>
      <c r="J91" s="115" t="e">
        <f t="shared" si="10"/>
        <v>#DIV/0!</v>
      </c>
      <c r="K91" s="115" t="e">
        <f t="shared" si="11"/>
        <v>#DIV/0!</v>
      </c>
    </row>
    <row r="92" spans="2:11" ht="15.75" x14ac:dyDescent="0.25">
      <c r="B92" s="103"/>
      <c r="C92" s="138">
        <v>38</v>
      </c>
      <c r="D92" s="138"/>
      <c r="E92" s="30"/>
      <c r="F92" s="138" t="s">
        <v>170</v>
      </c>
      <c r="G92" s="116">
        <f>G93</f>
        <v>0</v>
      </c>
      <c r="H92" s="116">
        <v>455</v>
      </c>
      <c r="I92" s="116">
        <f>I93</f>
        <v>452.68</v>
      </c>
      <c r="J92" s="115" t="e">
        <f t="shared" si="10"/>
        <v>#DIV/0!</v>
      </c>
      <c r="K92" s="115">
        <f t="shared" si="11"/>
        <v>99.490109890109892</v>
      </c>
    </row>
    <row r="93" spans="2:11" ht="15.75" x14ac:dyDescent="0.25">
      <c r="B93" s="103"/>
      <c r="C93" s="138"/>
      <c r="D93" s="138">
        <v>381</v>
      </c>
      <c r="E93" s="30"/>
      <c r="F93" s="138" t="s">
        <v>194</v>
      </c>
      <c r="G93" s="116">
        <f>G94</f>
        <v>0</v>
      </c>
      <c r="H93" s="116">
        <v>455</v>
      </c>
      <c r="I93" s="116">
        <f>I94</f>
        <v>452.68</v>
      </c>
      <c r="J93" s="115" t="e">
        <f t="shared" si="10"/>
        <v>#DIV/0!</v>
      </c>
      <c r="K93" s="115">
        <f t="shared" si="11"/>
        <v>99.490109890109892</v>
      </c>
    </row>
    <row r="94" spans="2:11" ht="15.75" x14ac:dyDescent="0.25">
      <c r="B94" s="103"/>
      <c r="C94" s="103"/>
      <c r="D94" s="103"/>
      <c r="E94" s="32">
        <v>3812</v>
      </c>
      <c r="F94" s="103" t="s">
        <v>195</v>
      </c>
      <c r="G94" s="43">
        <v>0</v>
      </c>
      <c r="H94" s="43"/>
      <c r="I94" s="43">
        <v>452.68</v>
      </c>
      <c r="J94" s="115" t="e">
        <f t="shared" si="10"/>
        <v>#DIV/0!</v>
      </c>
      <c r="K94" s="115" t="e">
        <f t="shared" si="11"/>
        <v>#DIV/0!</v>
      </c>
    </row>
    <row r="95" spans="2:11" ht="15.75" x14ac:dyDescent="0.25">
      <c r="B95" s="146"/>
      <c r="C95" s="146"/>
      <c r="D95" s="146"/>
      <c r="E95" s="147"/>
      <c r="F95" s="146"/>
      <c r="G95" s="148"/>
      <c r="H95" s="148"/>
      <c r="I95" s="148"/>
      <c r="J95" s="148"/>
      <c r="K95" s="149"/>
    </row>
    <row r="96" spans="2:11" ht="15.75" x14ac:dyDescent="0.25">
      <c r="B96" s="138">
        <v>4</v>
      </c>
      <c r="C96" s="138"/>
      <c r="D96" s="138"/>
      <c r="E96" s="30"/>
      <c r="F96" s="138" t="s">
        <v>6</v>
      </c>
      <c r="G96" s="116">
        <f>G97+G108</f>
        <v>17827.46</v>
      </c>
      <c r="H96" s="116">
        <f t="shared" ref="H96:I96" si="17">H97+H108</f>
        <v>25800</v>
      </c>
      <c r="I96" s="116">
        <f t="shared" si="17"/>
        <v>3297.98</v>
      </c>
      <c r="J96" s="116">
        <f>I96/G96*100</f>
        <v>18.499438506663317</v>
      </c>
      <c r="K96" s="116">
        <f>I96/H96*100</f>
        <v>12.782868217054263</v>
      </c>
    </row>
    <row r="97" spans="2:11" ht="30" customHeight="1" x14ac:dyDescent="0.25">
      <c r="B97" s="103"/>
      <c r="C97" s="138">
        <v>42</v>
      </c>
      <c r="D97" s="138"/>
      <c r="E97" s="30"/>
      <c r="F97" s="143" t="s">
        <v>197</v>
      </c>
      <c r="G97" s="116">
        <f>G98+G104+G106</f>
        <v>17827.46</v>
      </c>
      <c r="H97" s="116">
        <f>H98+H104+H106</f>
        <v>25800</v>
      </c>
      <c r="I97" s="116">
        <f t="shared" ref="I97" si="18">I98+I104+I106</f>
        <v>3297.98</v>
      </c>
      <c r="J97" s="116">
        <f t="shared" ref="J97:J109" si="19">I97/G97*100</f>
        <v>18.499438506663317</v>
      </c>
      <c r="K97" s="116">
        <f t="shared" ref="K97:K109" si="20">I97/H97*100</f>
        <v>12.782868217054263</v>
      </c>
    </row>
    <row r="98" spans="2:11" ht="15.75" x14ac:dyDescent="0.25">
      <c r="B98" s="103"/>
      <c r="C98" s="138"/>
      <c r="D98" s="138">
        <v>422</v>
      </c>
      <c r="E98" s="30"/>
      <c r="F98" s="138" t="s">
        <v>198</v>
      </c>
      <c r="G98" s="116">
        <f>SUM(G99:G103)</f>
        <v>5289.99</v>
      </c>
      <c r="H98" s="116">
        <f>5000+5000</f>
        <v>10000</v>
      </c>
      <c r="I98" s="116">
        <f t="shared" ref="I98" si="21">SUM(I99:I103)</f>
        <v>3239.95</v>
      </c>
      <c r="J98" s="116">
        <f t="shared" si="19"/>
        <v>61.246807649919944</v>
      </c>
      <c r="K98" s="116">
        <f t="shared" si="20"/>
        <v>32.399499999999996</v>
      </c>
    </row>
    <row r="99" spans="2:11" ht="15.75" x14ac:dyDescent="0.25">
      <c r="B99" s="103"/>
      <c r="C99" s="103"/>
      <c r="D99" s="103"/>
      <c r="E99" s="32">
        <v>4221</v>
      </c>
      <c r="F99" s="103" t="s">
        <v>105</v>
      </c>
      <c r="G99" s="43">
        <v>4115</v>
      </c>
      <c r="H99" s="43"/>
      <c r="I99" s="43">
        <v>3239.95</v>
      </c>
      <c r="J99" s="116">
        <f t="shared" si="19"/>
        <v>78.735115431348717</v>
      </c>
      <c r="K99" s="116" t="e">
        <f t="shared" si="20"/>
        <v>#DIV/0!</v>
      </c>
    </row>
    <row r="100" spans="2:11" ht="15.75" x14ac:dyDescent="0.25">
      <c r="B100" s="103"/>
      <c r="C100" s="103"/>
      <c r="D100" s="103"/>
      <c r="E100" s="32">
        <v>4223</v>
      </c>
      <c r="F100" s="103" t="s">
        <v>222</v>
      </c>
      <c r="G100" s="43">
        <v>1174.99</v>
      </c>
      <c r="H100" s="43"/>
      <c r="I100" s="43">
        <v>0</v>
      </c>
      <c r="J100" s="116">
        <f t="shared" si="19"/>
        <v>0</v>
      </c>
      <c r="K100" s="116" t="e">
        <f t="shared" si="20"/>
        <v>#DIV/0!</v>
      </c>
    </row>
    <row r="101" spans="2:11" ht="15.75" x14ac:dyDescent="0.25">
      <c r="B101" s="103"/>
      <c r="C101" s="103"/>
      <c r="D101" s="103"/>
      <c r="E101" s="32">
        <v>4224</v>
      </c>
      <c r="F101" s="103" t="s">
        <v>199</v>
      </c>
      <c r="G101" s="43">
        <v>0</v>
      </c>
      <c r="H101" s="43"/>
      <c r="I101" s="43">
        <v>0</v>
      </c>
      <c r="J101" s="116" t="e">
        <f t="shared" si="19"/>
        <v>#DIV/0!</v>
      </c>
      <c r="K101" s="116" t="e">
        <f t="shared" si="20"/>
        <v>#DIV/0!</v>
      </c>
    </row>
    <row r="102" spans="2:11" ht="15.75" x14ac:dyDescent="0.25">
      <c r="B102" s="103"/>
      <c r="C102" s="103"/>
      <c r="D102" s="103"/>
      <c r="E102" s="32">
        <v>4226</v>
      </c>
      <c r="F102" s="103" t="s">
        <v>200</v>
      </c>
      <c r="G102" s="43">
        <v>0</v>
      </c>
      <c r="H102" s="43"/>
      <c r="I102" s="43">
        <v>0</v>
      </c>
      <c r="J102" s="116" t="e">
        <f t="shared" si="19"/>
        <v>#DIV/0!</v>
      </c>
      <c r="K102" s="116" t="e">
        <f t="shared" si="20"/>
        <v>#DIV/0!</v>
      </c>
    </row>
    <row r="103" spans="2:11" ht="15.75" x14ac:dyDescent="0.25">
      <c r="B103" s="103"/>
      <c r="C103" s="103"/>
      <c r="D103" s="103"/>
      <c r="E103" s="32">
        <v>4227</v>
      </c>
      <c r="F103" s="103" t="s">
        <v>126</v>
      </c>
      <c r="G103" s="43">
        <v>0</v>
      </c>
      <c r="H103" s="43"/>
      <c r="I103" s="43">
        <v>0</v>
      </c>
      <c r="J103" s="116" t="e">
        <f t="shared" si="19"/>
        <v>#DIV/0!</v>
      </c>
      <c r="K103" s="116" t="e">
        <f t="shared" si="20"/>
        <v>#DIV/0!</v>
      </c>
    </row>
    <row r="104" spans="2:11" ht="32.25" customHeight="1" x14ac:dyDescent="0.25">
      <c r="B104" s="103"/>
      <c r="C104" s="103"/>
      <c r="D104" s="138">
        <v>424</v>
      </c>
      <c r="E104" s="30"/>
      <c r="F104" s="143" t="s">
        <v>201</v>
      </c>
      <c r="G104" s="116">
        <f>G105</f>
        <v>0</v>
      </c>
      <c r="H104" s="116">
        <f>800+15000</f>
        <v>15800</v>
      </c>
      <c r="I104" s="116">
        <f>I105</f>
        <v>58.03</v>
      </c>
      <c r="J104" s="116" t="e">
        <f t="shared" si="19"/>
        <v>#DIV/0!</v>
      </c>
      <c r="K104" s="116">
        <f t="shared" si="20"/>
        <v>0.36727848101265825</v>
      </c>
    </row>
    <row r="105" spans="2:11" ht="15.75" x14ac:dyDescent="0.25">
      <c r="B105" s="103"/>
      <c r="C105" s="103"/>
      <c r="D105" s="103"/>
      <c r="E105" s="32">
        <v>4241</v>
      </c>
      <c r="F105" s="103" t="s">
        <v>120</v>
      </c>
      <c r="G105" s="43">
        <v>0</v>
      </c>
      <c r="H105" s="43"/>
      <c r="I105" s="153">
        <v>58.03</v>
      </c>
      <c r="J105" s="116" t="e">
        <f t="shared" si="19"/>
        <v>#DIV/0!</v>
      </c>
      <c r="K105" s="116" t="e">
        <f t="shared" si="20"/>
        <v>#DIV/0!</v>
      </c>
    </row>
    <row r="106" spans="2:11" ht="15.75" x14ac:dyDescent="0.25">
      <c r="B106" s="103"/>
      <c r="C106" s="103"/>
      <c r="D106" s="138">
        <v>426</v>
      </c>
      <c r="E106" s="30"/>
      <c r="F106" s="138" t="s">
        <v>202</v>
      </c>
      <c r="G106" s="116">
        <v>12537.47</v>
      </c>
      <c r="H106" s="116">
        <v>0</v>
      </c>
      <c r="I106" s="116">
        <v>0</v>
      </c>
      <c r="J106" s="116">
        <f t="shared" si="19"/>
        <v>0</v>
      </c>
      <c r="K106" s="116" t="e">
        <f t="shared" si="20"/>
        <v>#DIV/0!</v>
      </c>
    </row>
    <row r="107" spans="2:11" ht="15.75" x14ac:dyDescent="0.25">
      <c r="B107" s="103"/>
      <c r="C107" s="103"/>
      <c r="D107" s="103"/>
      <c r="E107" s="32">
        <v>4264</v>
      </c>
      <c r="F107" s="103" t="s">
        <v>203</v>
      </c>
      <c r="G107" s="43">
        <v>0</v>
      </c>
      <c r="H107" s="43"/>
      <c r="I107" s="43">
        <v>0</v>
      </c>
      <c r="J107" s="116" t="e">
        <f t="shared" si="19"/>
        <v>#DIV/0!</v>
      </c>
      <c r="K107" s="116" t="e">
        <f t="shared" si="20"/>
        <v>#DIV/0!</v>
      </c>
    </row>
    <row r="108" spans="2:11" ht="34.5" customHeight="1" x14ac:dyDescent="0.25">
      <c r="B108" s="103"/>
      <c r="C108" s="138">
        <v>45</v>
      </c>
      <c r="D108" s="138"/>
      <c r="E108" s="30"/>
      <c r="F108" s="143" t="s">
        <v>204</v>
      </c>
      <c r="G108" s="116">
        <f>G109</f>
        <v>0</v>
      </c>
      <c r="H108" s="116">
        <v>0</v>
      </c>
      <c r="I108" s="116">
        <f>I109</f>
        <v>0</v>
      </c>
      <c r="J108" s="116" t="e">
        <f t="shared" si="19"/>
        <v>#DIV/0!</v>
      </c>
      <c r="K108" s="116" t="e">
        <f t="shared" si="20"/>
        <v>#DIV/0!</v>
      </c>
    </row>
    <row r="109" spans="2:11" ht="15.75" x14ac:dyDescent="0.25">
      <c r="B109" s="103"/>
      <c r="C109" s="138"/>
      <c r="D109" s="138">
        <v>451</v>
      </c>
      <c r="E109" s="30"/>
      <c r="F109" s="138" t="s">
        <v>100</v>
      </c>
      <c r="G109" s="116">
        <v>0</v>
      </c>
      <c r="H109" s="116"/>
      <c r="I109" s="116">
        <v>0</v>
      </c>
      <c r="J109" s="116" t="e">
        <f t="shared" si="19"/>
        <v>#DIV/0!</v>
      </c>
      <c r="K109" s="116" t="e">
        <f t="shared" si="20"/>
        <v>#DIV/0!</v>
      </c>
    </row>
    <row r="110" spans="2:11" ht="15.75" x14ac:dyDescent="0.25">
      <c r="B110" s="303" t="s">
        <v>211</v>
      </c>
      <c r="C110" s="304"/>
      <c r="D110" s="304"/>
      <c r="E110" s="304"/>
      <c r="F110" s="304"/>
      <c r="G110" s="304"/>
      <c r="H110" s="304"/>
      <c r="I110" s="304"/>
      <c r="J110" s="304"/>
      <c r="K110" s="305"/>
    </row>
    <row r="111" spans="2:11" ht="15.75" x14ac:dyDescent="0.25">
      <c r="B111" s="103"/>
      <c r="C111" s="138">
        <v>92</v>
      </c>
      <c r="D111" s="138"/>
      <c r="E111" s="32"/>
      <c r="F111" s="103"/>
      <c r="G111" s="116">
        <v>0</v>
      </c>
      <c r="H111" s="116">
        <v>0</v>
      </c>
      <c r="I111" s="116">
        <v>0</v>
      </c>
      <c r="J111" s="43"/>
      <c r="K111" s="40"/>
    </row>
    <row r="112" spans="2:11" ht="15.75" x14ac:dyDescent="0.25">
      <c r="B112" s="103"/>
      <c r="C112" s="138"/>
      <c r="D112" s="138">
        <v>922</v>
      </c>
      <c r="E112" s="32"/>
      <c r="F112" s="103"/>
      <c r="G112" s="116">
        <v>0</v>
      </c>
      <c r="H112" s="116">
        <v>0</v>
      </c>
      <c r="I112" s="116">
        <v>0</v>
      </c>
      <c r="J112" s="43"/>
      <c r="K112" s="40"/>
    </row>
    <row r="113" spans="2:11" ht="15.75" x14ac:dyDescent="0.25">
      <c r="B113" s="103"/>
      <c r="C113" s="103"/>
      <c r="D113" s="103"/>
      <c r="E113" s="32">
        <v>9222</v>
      </c>
      <c r="F113" s="103"/>
      <c r="G113" s="43">
        <v>0</v>
      </c>
      <c r="H113" s="43">
        <v>0</v>
      </c>
      <c r="I113" s="43">
        <v>0</v>
      </c>
      <c r="J113" s="43"/>
      <c r="K113" s="40"/>
    </row>
    <row r="114" spans="2:11" ht="15.75" x14ac:dyDescent="0.25">
      <c r="B114" s="103"/>
      <c r="C114" s="103"/>
      <c r="D114" s="103"/>
      <c r="E114" s="32"/>
      <c r="F114" s="103"/>
      <c r="G114" s="43"/>
      <c r="H114" s="43"/>
      <c r="I114" s="43"/>
      <c r="J114" s="43"/>
      <c r="K114" s="40"/>
    </row>
    <row r="115" spans="2:11" ht="15.75" x14ac:dyDescent="0.25">
      <c r="B115" s="139"/>
      <c r="C115" s="139"/>
      <c r="D115" s="139"/>
      <c r="E115" s="140"/>
      <c r="F115" s="139"/>
      <c r="G115" s="141"/>
      <c r="H115" s="141"/>
      <c r="I115" s="141"/>
      <c r="J115" s="141"/>
      <c r="K115" s="69"/>
    </row>
    <row r="116" spans="2:11" ht="15.75" x14ac:dyDescent="0.25">
      <c r="B116" s="139"/>
      <c r="C116" s="139"/>
      <c r="D116" s="139"/>
      <c r="E116" s="140"/>
      <c r="F116" s="139"/>
      <c r="G116" s="141"/>
      <c r="H116" s="141"/>
      <c r="I116" s="141"/>
      <c r="J116" s="141"/>
      <c r="K116" s="69"/>
    </row>
    <row r="117" spans="2:11" ht="15.75" x14ac:dyDescent="0.25">
      <c r="B117" s="139"/>
      <c r="C117" s="139"/>
      <c r="D117" s="139"/>
      <c r="E117" s="140"/>
      <c r="F117" s="139"/>
      <c r="G117" s="141"/>
      <c r="H117" s="141"/>
      <c r="I117" s="141"/>
      <c r="J117" s="141"/>
      <c r="K117" s="69"/>
    </row>
    <row r="118" spans="2:11" ht="15.75" x14ac:dyDescent="0.25">
      <c r="B118" s="139"/>
      <c r="C118" s="139"/>
      <c r="D118" s="139"/>
      <c r="E118" s="140"/>
      <c r="F118" s="139"/>
      <c r="G118" s="141"/>
      <c r="H118" s="141"/>
      <c r="I118" s="141"/>
      <c r="J118" s="141"/>
      <c r="K118" s="69"/>
    </row>
    <row r="119" spans="2:11" ht="15.75" x14ac:dyDescent="0.25">
      <c r="B119" s="139"/>
      <c r="C119" s="139"/>
      <c r="D119" s="139"/>
      <c r="E119" s="140"/>
      <c r="F119" s="139"/>
      <c r="G119" s="141"/>
      <c r="H119" s="141"/>
      <c r="I119" s="141"/>
      <c r="J119" s="141"/>
      <c r="K119" s="69"/>
    </row>
    <row r="120" spans="2:11" ht="15.75" x14ac:dyDescent="0.25">
      <c r="B120" s="139"/>
      <c r="C120" s="139"/>
      <c r="D120" s="139"/>
      <c r="E120" s="140"/>
      <c r="F120" s="139"/>
      <c r="G120" s="141"/>
      <c r="H120" s="141"/>
      <c r="I120" s="141"/>
      <c r="J120" s="141"/>
      <c r="K120" s="69"/>
    </row>
    <row r="121" spans="2:11" ht="15.75" x14ac:dyDescent="0.25">
      <c r="B121" s="139"/>
      <c r="C121" s="139"/>
      <c r="D121" s="139"/>
      <c r="E121" s="140"/>
      <c r="F121" s="139"/>
      <c r="G121" s="141"/>
      <c r="H121" s="141"/>
      <c r="I121" s="141"/>
      <c r="J121" s="141"/>
      <c r="K121" s="69"/>
    </row>
    <row r="122" spans="2:11" ht="15.75" x14ac:dyDescent="0.25">
      <c r="B122" s="139"/>
      <c r="C122" s="139"/>
      <c r="D122" s="139"/>
      <c r="E122" s="140"/>
      <c r="F122" s="139"/>
      <c r="G122" s="141"/>
      <c r="H122" s="141"/>
      <c r="I122" s="141"/>
      <c r="J122" s="141"/>
      <c r="K122" s="69"/>
    </row>
    <row r="123" spans="2:11" ht="15.75" x14ac:dyDescent="0.25">
      <c r="B123" s="139"/>
      <c r="C123" s="139"/>
      <c r="D123" s="139"/>
      <c r="E123" s="140"/>
      <c r="F123" s="139"/>
      <c r="G123" s="141"/>
      <c r="H123" s="141"/>
      <c r="I123" s="141"/>
      <c r="J123" s="141"/>
      <c r="K123" s="69"/>
    </row>
    <row r="124" spans="2:11" ht="15.75" x14ac:dyDescent="0.25">
      <c r="B124" s="139"/>
      <c r="C124" s="139"/>
      <c r="D124" s="139"/>
      <c r="E124" s="140"/>
      <c r="F124" s="139"/>
      <c r="G124" s="141"/>
      <c r="H124" s="141"/>
      <c r="I124" s="141"/>
      <c r="J124" s="141"/>
      <c r="K124" s="69"/>
    </row>
    <row r="125" spans="2:11" ht="15.75" x14ac:dyDescent="0.25">
      <c r="B125" s="139"/>
      <c r="C125" s="139"/>
      <c r="D125" s="139"/>
      <c r="E125" s="140"/>
      <c r="F125" s="139"/>
      <c r="G125" s="141"/>
      <c r="H125" s="141"/>
      <c r="I125" s="141"/>
      <c r="J125" s="141"/>
      <c r="K125" s="69"/>
    </row>
    <row r="126" spans="2:11" ht="15.75" x14ac:dyDescent="0.25">
      <c r="B126" s="139"/>
      <c r="C126" s="139"/>
      <c r="D126" s="139"/>
      <c r="E126" s="140"/>
      <c r="F126" s="139"/>
      <c r="G126" s="141"/>
      <c r="H126" s="141"/>
      <c r="I126" s="141"/>
      <c r="J126" s="141"/>
      <c r="K126" s="69"/>
    </row>
    <row r="127" spans="2:11" ht="15.75" x14ac:dyDescent="0.25">
      <c r="B127" s="139"/>
      <c r="C127" s="139"/>
      <c r="D127" s="139"/>
      <c r="E127" s="140"/>
      <c r="F127" s="139"/>
      <c r="G127" s="141"/>
      <c r="H127" s="141"/>
      <c r="I127" s="141"/>
      <c r="J127" s="141"/>
      <c r="K127" s="69"/>
    </row>
    <row r="128" spans="2:11" ht="15.75" x14ac:dyDescent="0.25">
      <c r="B128" s="139"/>
      <c r="C128" s="139"/>
      <c r="D128" s="139"/>
      <c r="E128" s="140"/>
      <c r="F128" s="139"/>
      <c r="G128" s="141"/>
      <c r="H128" s="141"/>
      <c r="I128" s="141"/>
      <c r="J128" s="141"/>
      <c r="K128" s="69"/>
    </row>
    <row r="129" spans="2:11" ht="15.75" x14ac:dyDescent="0.25">
      <c r="B129" s="139"/>
      <c r="C129" s="139"/>
      <c r="D129" s="139"/>
      <c r="E129" s="140"/>
      <c r="F129" s="139"/>
      <c r="G129" s="141"/>
      <c r="H129" s="141"/>
      <c r="I129" s="141"/>
      <c r="J129" s="141"/>
      <c r="K129" s="69"/>
    </row>
    <row r="130" spans="2:11" ht="15.75" x14ac:dyDescent="0.25">
      <c r="B130" s="139"/>
      <c r="C130" s="139"/>
      <c r="D130" s="139"/>
      <c r="E130" s="140"/>
      <c r="F130" s="139"/>
      <c r="G130" s="141"/>
      <c r="H130" s="141"/>
      <c r="I130" s="141"/>
      <c r="J130" s="141"/>
      <c r="K130" s="69"/>
    </row>
    <row r="131" spans="2:11" ht="15.75" x14ac:dyDescent="0.25">
      <c r="B131" s="139"/>
      <c r="C131" s="139"/>
      <c r="D131" s="139"/>
      <c r="E131" s="140"/>
      <c r="F131" s="139"/>
      <c r="G131" s="141"/>
      <c r="H131" s="141"/>
      <c r="I131" s="141"/>
      <c r="J131" s="141"/>
      <c r="K131" s="69"/>
    </row>
    <row r="132" spans="2:11" ht="15.75" x14ac:dyDescent="0.25">
      <c r="B132" s="139"/>
      <c r="C132" s="139"/>
      <c r="D132" s="139"/>
      <c r="E132" s="140"/>
      <c r="F132" s="139"/>
      <c r="G132" s="141"/>
      <c r="H132" s="141"/>
      <c r="I132" s="141"/>
      <c r="J132" s="141"/>
      <c r="K132" s="69"/>
    </row>
    <row r="133" spans="2:11" ht="15.75" x14ac:dyDescent="0.25">
      <c r="B133" s="139"/>
      <c r="C133" s="139"/>
      <c r="D133" s="139"/>
      <c r="E133" s="140"/>
      <c r="F133" s="139"/>
      <c r="G133" s="141"/>
      <c r="H133" s="141"/>
      <c r="I133" s="141"/>
      <c r="J133" s="141"/>
      <c r="K133" s="69"/>
    </row>
    <row r="134" spans="2:11" ht="15.75" x14ac:dyDescent="0.25">
      <c r="B134" s="139"/>
      <c r="C134" s="139"/>
      <c r="D134" s="139"/>
      <c r="E134" s="140"/>
      <c r="F134" s="139"/>
      <c r="G134" s="141"/>
      <c r="H134" s="141"/>
      <c r="I134" s="141"/>
      <c r="J134" s="141"/>
      <c r="K134" s="69"/>
    </row>
    <row r="135" spans="2:11" ht="15.75" x14ac:dyDescent="0.25">
      <c r="B135" s="139"/>
      <c r="C135" s="139"/>
      <c r="D135" s="139"/>
      <c r="E135" s="140"/>
      <c r="F135" s="139"/>
      <c r="G135" s="141"/>
      <c r="H135" s="141"/>
      <c r="I135" s="141"/>
      <c r="J135" s="141"/>
      <c r="K135" s="69"/>
    </row>
    <row r="136" spans="2:11" ht="15.75" x14ac:dyDescent="0.25">
      <c r="B136" s="139"/>
      <c r="C136" s="139"/>
      <c r="D136" s="139"/>
      <c r="E136" s="140"/>
      <c r="F136" s="139"/>
      <c r="G136" s="141"/>
      <c r="H136" s="141"/>
      <c r="I136" s="141"/>
      <c r="J136" s="141"/>
      <c r="K136" s="69"/>
    </row>
    <row r="137" spans="2:11" ht="15.75" x14ac:dyDescent="0.25">
      <c r="B137" s="139"/>
      <c r="C137" s="139"/>
      <c r="D137" s="139"/>
      <c r="E137" s="140"/>
      <c r="F137" s="139"/>
      <c r="G137" s="141"/>
      <c r="H137" s="141"/>
      <c r="I137" s="141"/>
      <c r="J137" s="141"/>
      <c r="K137" s="69"/>
    </row>
    <row r="138" spans="2:11" ht="15.75" x14ac:dyDescent="0.25">
      <c r="B138" s="139"/>
      <c r="C138" s="139"/>
      <c r="D138" s="139"/>
      <c r="E138" s="140"/>
      <c r="F138" s="139"/>
      <c r="G138" s="141"/>
      <c r="H138" s="141"/>
      <c r="I138" s="141"/>
      <c r="J138" s="141"/>
      <c r="K138" s="69"/>
    </row>
    <row r="139" spans="2:11" ht="15.75" x14ac:dyDescent="0.25">
      <c r="B139" s="139"/>
      <c r="C139" s="139"/>
      <c r="D139" s="139"/>
      <c r="E139" s="140"/>
      <c r="F139" s="139"/>
      <c r="G139" s="141"/>
      <c r="H139" s="141"/>
      <c r="I139" s="141"/>
      <c r="J139" s="141"/>
      <c r="K139" s="69"/>
    </row>
    <row r="140" spans="2:11" ht="15.75" x14ac:dyDescent="0.25">
      <c r="B140" s="139"/>
      <c r="C140" s="139"/>
      <c r="D140" s="139"/>
      <c r="E140" s="140"/>
      <c r="F140" s="139"/>
      <c r="G140" s="141"/>
      <c r="H140" s="141"/>
      <c r="I140" s="141"/>
      <c r="J140" s="141"/>
      <c r="K140" s="69"/>
    </row>
    <row r="141" spans="2:11" ht="15.75" x14ac:dyDescent="0.25">
      <c r="B141" s="139"/>
      <c r="C141" s="139"/>
      <c r="D141" s="139"/>
      <c r="E141" s="140"/>
      <c r="F141" s="139"/>
      <c r="G141" s="141"/>
      <c r="H141" s="141"/>
      <c r="I141" s="141"/>
      <c r="J141" s="141"/>
      <c r="K141" s="69"/>
    </row>
    <row r="142" spans="2:11" ht="15.75" x14ac:dyDescent="0.25">
      <c r="B142" s="139"/>
      <c r="C142" s="139"/>
      <c r="D142" s="139"/>
      <c r="E142" s="140"/>
      <c r="F142" s="139"/>
      <c r="G142" s="141"/>
      <c r="H142" s="141"/>
      <c r="I142" s="141"/>
      <c r="J142" s="141"/>
      <c r="K142" s="69"/>
    </row>
    <row r="143" spans="2:11" ht="15.75" x14ac:dyDescent="0.25">
      <c r="B143" s="139"/>
      <c r="C143" s="139"/>
      <c r="D143" s="139"/>
      <c r="E143" s="140"/>
      <c r="F143" s="139"/>
      <c r="G143" s="141"/>
      <c r="H143" s="141"/>
      <c r="I143" s="141"/>
      <c r="J143" s="141"/>
      <c r="K143" s="69"/>
    </row>
    <row r="144" spans="2:11" ht="15.75" x14ac:dyDescent="0.25">
      <c r="B144" s="139"/>
      <c r="C144" s="139"/>
      <c r="D144" s="139"/>
      <c r="E144" s="140"/>
      <c r="F144" s="139"/>
      <c r="G144" s="141"/>
      <c r="H144" s="141"/>
      <c r="I144" s="141"/>
      <c r="J144" s="141"/>
      <c r="K144" s="69"/>
    </row>
    <row r="145" spans="2:11" ht="15.75" x14ac:dyDescent="0.25">
      <c r="B145" s="139"/>
      <c r="C145" s="139"/>
      <c r="D145" s="139"/>
      <c r="E145" s="140"/>
      <c r="F145" s="139"/>
      <c r="G145" s="141"/>
      <c r="H145" s="141"/>
      <c r="I145" s="141"/>
      <c r="J145" s="141"/>
      <c r="K145" s="69"/>
    </row>
    <row r="146" spans="2:11" ht="15.75" x14ac:dyDescent="0.25">
      <c r="B146" s="139"/>
      <c r="C146" s="139"/>
      <c r="D146" s="139"/>
      <c r="E146" s="140"/>
      <c r="F146" s="139"/>
      <c r="G146" s="141"/>
      <c r="H146" s="141"/>
      <c r="I146" s="141"/>
      <c r="J146" s="141"/>
      <c r="K146" s="69"/>
    </row>
    <row r="147" spans="2:11" ht="15.75" x14ac:dyDescent="0.25">
      <c r="B147" s="139"/>
      <c r="C147" s="139"/>
      <c r="D147" s="139"/>
      <c r="E147" s="140"/>
      <c r="F147" s="139"/>
      <c r="G147" s="141"/>
      <c r="H147" s="141"/>
      <c r="I147" s="141"/>
      <c r="J147" s="141"/>
      <c r="K147" s="69"/>
    </row>
    <row r="148" spans="2:11" ht="15.75" x14ac:dyDescent="0.25">
      <c r="B148" s="139"/>
      <c r="C148" s="139"/>
      <c r="D148" s="139"/>
      <c r="E148" s="140"/>
      <c r="F148" s="139"/>
      <c r="G148" s="141"/>
      <c r="H148" s="141"/>
      <c r="I148" s="141"/>
      <c r="J148" s="141"/>
      <c r="K148" s="69"/>
    </row>
    <row r="149" spans="2:11" ht="15.75" x14ac:dyDescent="0.25">
      <c r="B149" s="139"/>
      <c r="C149" s="139"/>
      <c r="D149" s="139"/>
      <c r="E149" s="140"/>
      <c r="F149" s="139"/>
      <c r="G149" s="141"/>
      <c r="H149" s="141"/>
      <c r="I149" s="141"/>
      <c r="J149" s="141"/>
      <c r="K149" s="69"/>
    </row>
    <row r="150" spans="2:11" x14ac:dyDescent="0.25">
      <c r="G150" s="69"/>
      <c r="H150" s="69"/>
      <c r="I150" s="69"/>
      <c r="J150" s="69"/>
      <c r="K150" s="69"/>
    </row>
    <row r="151" spans="2:11" x14ac:dyDescent="0.25">
      <c r="G151" s="69"/>
      <c r="H151" s="69"/>
      <c r="I151" s="69"/>
      <c r="J151" s="69"/>
      <c r="K151" s="69"/>
    </row>
    <row r="152" spans="2:11" x14ac:dyDescent="0.25">
      <c r="G152" s="69"/>
      <c r="H152" s="69"/>
      <c r="I152" s="69"/>
      <c r="J152" s="69"/>
      <c r="K152" s="69"/>
    </row>
    <row r="153" spans="2:11" x14ac:dyDescent="0.25">
      <c r="G153" s="69"/>
      <c r="H153" s="69"/>
      <c r="I153" s="69"/>
      <c r="J153" s="69"/>
      <c r="K153" s="69"/>
    </row>
    <row r="154" spans="2:11" x14ac:dyDescent="0.25">
      <c r="G154" s="69"/>
      <c r="H154" s="69"/>
      <c r="I154" s="69"/>
      <c r="J154" s="69"/>
      <c r="K154" s="69"/>
    </row>
    <row r="155" spans="2:11" x14ac:dyDescent="0.25">
      <c r="G155" s="69"/>
      <c r="H155" s="69"/>
      <c r="I155" s="69"/>
      <c r="J155" s="69"/>
      <c r="K155" s="69"/>
    </row>
    <row r="156" spans="2:11" x14ac:dyDescent="0.25">
      <c r="G156" s="69"/>
      <c r="H156" s="69"/>
      <c r="I156" s="69"/>
      <c r="J156" s="69"/>
      <c r="K156" s="69"/>
    </row>
    <row r="157" spans="2:11" x14ac:dyDescent="0.25">
      <c r="G157" s="69"/>
      <c r="H157" s="69"/>
      <c r="I157" s="69"/>
      <c r="J157" s="69"/>
      <c r="K157" s="69"/>
    </row>
    <row r="158" spans="2:11" x14ac:dyDescent="0.25">
      <c r="G158" s="69"/>
      <c r="H158" s="69"/>
      <c r="I158" s="69"/>
      <c r="J158" s="69"/>
      <c r="K158" s="69"/>
    </row>
    <row r="159" spans="2:11" x14ac:dyDescent="0.25">
      <c r="G159" s="69"/>
      <c r="H159" s="69"/>
      <c r="I159" s="69"/>
      <c r="J159" s="69"/>
      <c r="K159" s="69"/>
    </row>
    <row r="160" spans="2:11" x14ac:dyDescent="0.25">
      <c r="G160" s="69"/>
      <c r="H160" s="69"/>
      <c r="I160" s="69"/>
      <c r="J160" s="69"/>
      <c r="K160" s="69"/>
    </row>
  </sheetData>
  <mergeCells count="14">
    <mergeCell ref="B110:K110"/>
    <mergeCell ref="B37:K37"/>
    <mergeCell ref="B1:K1"/>
    <mergeCell ref="B2:K2"/>
    <mergeCell ref="B4:K4"/>
    <mergeCell ref="B6:K6"/>
    <mergeCell ref="B44:F44"/>
    <mergeCell ref="B9:F9"/>
    <mergeCell ref="B43:F43"/>
    <mergeCell ref="B8:F8"/>
    <mergeCell ref="B7:K7"/>
    <mergeCell ref="B5:K5"/>
    <mergeCell ref="B42:K42"/>
    <mergeCell ref="B3:K3"/>
  </mergeCells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45"/>
  <sheetViews>
    <sheetView workbookViewId="0">
      <selection activeCell="D41" sqref="D41"/>
    </sheetView>
  </sheetViews>
  <sheetFormatPr defaultRowHeight="15" x14ac:dyDescent="0.25"/>
  <cols>
    <col min="2" max="2" width="38.28515625" customWidth="1"/>
    <col min="3" max="4" width="25.28515625" customWidth="1"/>
    <col min="5" max="5" width="26.85546875" customWidth="1"/>
    <col min="6" max="7" width="15.7109375" customWidth="1"/>
    <col min="9" max="10" width="10.140625" bestFit="1" customWidth="1"/>
  </cols>
  <sheetData>
    <row r="1" spans="2:9" ht="18" x14ac:dyDescent="0.25">
      <c r="B1" s="3"/>
      <c r="C1" s="3"/>
      <c r="D1" s="3"/>
      <c r="E1" s="4"/>
      <c r="F1" s="4"/>
      <c r="G1" s="4"/>
    </row>
    <row r="2" spans="2:9" ht="15.75" customHeight="1" x14ac:dyDescent="0.25">
      <c r="B2" s="278" t="s">
        <v>29</v>
      </c>
      <c r="C2" s="278"/>
      <c r="D2" s="278"/>
      <c r="E2" s="278"/>
      <c r="F2" s="278"/>
      <c r="G2" s="278"/>
    </row>
    <row r="3" spans="2:9" ht="18" x14ac:dyDescent="0.25">
      <c r="B3" s="27"/>
      <c r="C3" s="27"/>
      <c r="D3" s="27"/>
      <c r="E3" s="28"/>
      <c r="F3" s="28"/>
      <c r="G3" s="28"/>
    </row>
    <row r="4" spans="2:9" ht="33.75" customHeight="1" x14ac:dyDescent="0.25">
      <c r="B4" s="18" t="s">
        <v>7</v>
      </c>
      <c r="C4" s="18" t="s">
        <v>213</v>
      </c>
      <c r="D4" s="18" t="s">
        <v>225</v>
      </c>
      <c r="E4" s="18" t="s">
        <v>226</v>
      </c>
      <c r="F4" s="18" t="s">
        <v>18</v>
      </c>
      <c r="G4" s="18" t="s">
        <v>34</v>
      </c>
    </row>
    <row r="5" spans="2:9" x14ac:dyDescent="0.25">
      <c r="B5" s="18">
        <v>1</v>
      </c>
      <c r="C5" s="20">
        <v>2</v>
      </c>
      <c r="D5" s="20">
        <v>3</v>
      </c>
      <c r="E5" s="20">
        <v>4</v>
      </c>
      <c r="F5" s="20" t="s">
        <v>206</v>
      </c>
      <c r="G5" s="20" t="s">
        <v>207</v>
      </c>
    </row>
    <row r="6" spans="2:9" ht="15.75" x14ac:dyDescent="0.25">
      <c r="B6" s="156" t="s">
        <v>31</v>
      </c>
      <c r="C6" s="159">
        <f>C7+C11+C13+C17+C21</f>
        <v>669057.97</v>
      </c>
      <c r="D6" s="159">
        <f>D7+D11+D13+D17+D21</f>
        <v>1058141.3899999999</v>
      </c>
      <c r="E6" s="159">
        <f>E7+E11+E13+E17</f>
        <v>714211.98</v>
      </c>
      <c r="F6" s="174">
        <f>E6/C6*100</f>
        <v>106.74889352263452</v>
      </c>
      <c r="G6" s="174">
        <f>E6/D6*100</f>
        <v>67.496838017082013</v>
      </c>
    </row>
    <row r="7" spans="2:9" ht="15.75" x14ac:dyDescent="0.25">
      <c r="B7" s="45" t="s">
        <v>14</v>
      </c>
      <c r="C7" s="115">
        <f>SUM(C8+C9+C10)</f>
        <v>30682</v>
      </c>
      <c r="D7" s="115">
        <f t="shared" ref="D7:E7" si="0">SUM(D8+D9+D10)</f>
        <v>29813.129999999997</v>
      </c>
      <c r="E7" s="115">
        <f t="shared" si="0"/>
        <v>25579.59</v>
      </c>
      <c r="F7" s="175">
        <f t="shared" ref="F7:F39" si="1">E7/C7*100</f>
        <v>83.370021510983634</v>
      </c>
      <c r="G7" s="175">
        <f t="shared" ref="G7:G39" si="2">E7/D7*100</f>
        <v>85.799746621706618</v>
      </c>
    </row>
    <row r="8" spans="2:9" ht="15.75" x14ac:dyDescent="0.25">
      <c r="B8" s="150" t="s">
        <v>15</v>
      </c>
      <c r="C8" s="153">
        <v>5646.39</v>
      </c>
      <c r="D8" s="42">
        <v>8694.9699999999993</v>
      </c>
      <c r="E8" s="153">
        <v>6810.07</v>
      </c>
      <c r="F8" s="175">
        <f t="shared" si="1"/>
        <v>120.60927424425162</v>
      </c>
      <c r="G8" s="175">
        <f t="shared" si="2"/>
        <v>78.32194935692705</v>
      </c>
    </row>
    <row r="9" spans="2:9" ht="15.75" x14ac:dyDescent="0.25">
      <c r="B9" s="150" t="s">
        <v>165</v>
      </c>
      <c r="C9" s="153">
        <v>21412.1</v>
      </c>
      <c r="D9" s="42">
        <v>18769.52</v>
      </c>
      <c r="E9" s="153">
        <v>18769.52</v>
      </c>
      <c r="F9" s="175">
        <f t="shared" si="1"/>
        <v>87.658473479948256</v>
      </c>
      <c r="G9" s="175">
        <f t="shared" si="2"/>
        <v>100</v>
      </c>
    </row>
    <row r="10" spans="2:9" ht="15.75" x14ac:dyDescent="0.25">
      <c r="B10" s="151" t="s">
        <v>154</v>
      </c>
      <c r="C10" s="153">
        <v>3623.51</v>
      </c>
      <c r="D10" s="42">
        <v>2348.64</v>
      </c>
      <c r="E10" s="153">
        <v>0</v>
      </c>
      <c r="F10" s="175">
        <f t="shared" si="1"/>
        <v>0</v>
      </c>
      <c r="G10" s="175">
        <f t="shared" si="2"/>
        <v>0</v>
      </c>
    </row>
    <row r="11" spans="2:9" ht="15.75" x14ac:dyDescent="0.25">
      <c r="B11" s="45" t="s">
        <v>16</v>
      </c>
      <c r="C11" s="115">
        <f>C12</f>
        <v>11034.49</v>
      </c>
      <c r="D11" s="115">
        <f>D12</f>
        <v>14200</v>
      </c>
      <c r="E11" s="154">
        <f>E12</f>
        <v>9536.41</v>
      </c>
      <c r="F11" s="175">
        <f t="shared" si="1"/>
        <v>86.423658909473843</v>
      </c>
      <c r="G11" s="175">
        <f t="shared" si="2"/>
        <v>67.157816901408452</v>
      </c>
    </row>
    <row r="12" spans="2:9" ht="15.75" x14ac:dyDescent="0.25">
      <c r="B12" s="152" t="s">
        <v>17</v>
      </c>
      <c r="C12" s="42">
        <v>11034.49</v>
      </c>
      <c r="D12" s="42">
        <v>14200</v>
      </c>
      <c r="E12" s="153">
        <v>9536.41</v>
      </c>
      <c r="F12" s="175">
        <f t="shared" si="1"/>
        <v>86.423658909473843</v>
      </c>
      <c r="G12" s="175">
        <f t="shared" si="2"/>
        <v>67.157816901408452</v>
      </c>
    </row>
    <row r="13" spans="2:9" ht="15.75" x14ac:dyDescent="0.25">
      <c r="B13" s="45" t="s">
        <v>155</v>
      </c>
      <c r="C13" s="115">
        <f>C14+C15+C16</f>
        <v>69794.81</v>
      </c>
      <c r="D13" s="115">
        <f>D14+D15+D16</f>
        <v>116428.92</v>
      </c>
      <c r="E13" s="154">
        <f>E14+E15+E16</f>
        <v>64017.53</v>
      </c>
      <c r="F13" s="175">
        <f t="shared" si="1"/>
        <v>91.722479078315416</v>
      </c>
      <c r="G13" s="175">
        <f t="shared" si="2"/>
        <v>54.984216979767574</v>
      </c>
    </row>
    <row r="14" spans="2:9" ht="15.75" x14ac:dyDescent="0.25">
      <c r="B14" s="152" t="s">
        <v>156</v>
      </c>
      <c r="C14" s="153">
        <v>850.33</v>
      </c>
      <c r="D14" s="42">
        <v>3450</v>
      </c>
      <c r="E14" s="153">
        <v>1244.8800000000001</v>
      </c>
      <c r="F14" s="175">
        <f t="shared" si="1"/>
        <v>146.39963308362636</v>
      </c>
      <c r="G14" s="175">
        <f t="shared" si="2"/>
        <v>36.083478260869569</v>
      </c>
    </row>
    <row r="15" spans="2:9" ht="15.75" x14ac:dyDescent="0.25">
      <c r="B15" s="152" t="s">
        <v>157</v>
      </c>
      <c r="C15" s="187">
        <v>0</v>
      </c>
      <c r="D15" s="161">
        <v>0</v>
      </c>
      <c r="E15" s="187">
        <v>0</v>
      </c>
      <c r="F15" s="175" t="e">
        <f t="shared" si="1"/>
        <v>#DIV/0!</v>
      </c>
      <c r="G15" s="175" t="e">
        <f t="shared" si="2"/>
        <v>#DIV/0!</v>
      </c>
      <c r="I15" s="69"/>
    </row>
    <row r="16" spans="2:9" ht="15.75" x14ac:dyDescent="0.25">
      <c r="B16" s="152" t="s">
        <v>158</v>
      </c>
      <c r="C16" s="153">
        <v>68944.479999999996</v>
      </c>
      <c r="D16" s="42">
        <v>112978.92</v>
      </c>
      <c r="E16" s="153">
        <v>62772.65</v>
      </c>
      <c r="F16" s="175">
        <f t="shared" si="1"/>
        <v>91.048115817248899</v>
      </c>
      <c r="G16" s="175">
        <f t="shared" si="2"/>
        <v>55.561382601285267</v>
      </c>
    </row>
    <row r="17" spans="2:10" ht="15.75" x14ac:dyDescent="0.25">
      <c r="B17" s="155" t="s">
        <v>159</v>
      </c>
      <c r="C17" s="115">
        <f>C18+C19+C20</f>
        <v>557546.67000000004</v>
      </c>
      <c r="D17" s="115">
        <f>D18+D19+D20</f>
        <v>897699.34</v>
      </c>
      <c r="E17" s="154">
        <f>E18+E19+E20</f>
        <v>615078.44999999995</v>
      </c>
      <c r="F17" s="175">
        <f t="shared" si="1"/>
        <v>110.31873798116307</v>
      </c>
      <c r="G17" s="175">
        <f t="shared" si="2"/>
        <v>68.517199756435161</v>
      </c>
      <c r="I17" s="69"/>
      <c r="J17" s="69"/>
    </row>
    <row r="18" spans="2:10" ht="15.75" x14ac:dyDescent="0.25">
      <c r="B18" s="152" t="s">
        <v>160</v>
      </c>
      <c r="C18" s="42">
        <v>554546.67000000004</v>
      </c>
      <c r="D18" s="42">
        <v>859199.34</v>
      </c>
      <c r="E18" s="153">
        <f>611566.67-3000+271.83</f>
        <v>608838.5</v>
      </c>
      <c r="F18" s="175">
        <f t="shared" si="1"/>
        <v>109.79030854156963</v>
      </c>
      <c r="G18" s="175">
        <f t="shared" si="2"/>
        <v>70.861146145666268</v>
      </c>
    </row>
    <row r="19" spans="2:10" ht="15.75" x14ac:dyDescent="0.25">
      <c r="B19" s="152" t="s">
        <v>161</v>
      </c>
      <c r="C19" s="42">
        <v>3000</v>
      </c>
      <c r="D19" s="42">
        <v>38500</v>
      </c>
      <c r="E19" s="153">
        <v>6239.95</v>
      </c>
      <c r="F19" s="175">
        <f t="shared" si="1"/>
        <v>207.99833333333333</v>
      </c>
      <c r="G19" s="175">
        <f t="shared" si="2"/>
        <v>16.207662337662338</v>
      </c>
    </row>
    <row r="20" spans="2:10" ht="15.75" x14ac:dyDescent="0.25">
      <c r="B20" s="152" t="s">
        <v>162</v>
      </c>
      <c r="C20" s="42">
        <v>0</v>
      </c>
      <c r="D20" s="42">
        <v>0</v>
      </c>
      <c r="E20" s="153">
        <v>0</v>
      </c>
      <c r="F20" s="175" t="e">
        <f t="shared" si="1"/>
        <v>#DIV/0!</v>
      </c>
      <c r="G20" s="175" t="e">
        <f t="shared" si="2"/>
        <v>#DIV/0!</v>
      </c>
    </row>
    <row r="21" spans="2:10" ht="15.75" x14ac:dyDescent="0.25">
      <c r="B21" s="155" t="s">
        <v>163</v>
      </c>
      <c r="C21" s="115">
        <v>0</v>
      </c>
      <c r="D21" s="115">
        <v>0</v>
      </c>
      <c r="E21" s="154">
        <v>0</v>
      </c>
      <c r="F21" s="175" t="e">
        <f t="shared" si="1"/>
        <v>#DIV/0!</v>
      </c>
      <c r="G21" s="175" t="e">
        <f t="shared" si="2"/>
        <v>#DIV/0!</v>
      </c>
    </row>
    <row r="22" spans="2:10" ht="15.75" x14ac:dyDescent="0.25">
      <c r="B22" s="152" t="s">
        <v>164</v>
      </c>
      <c r="C22" s="42">
        <v>0</v>
      </c>
      <c r="D22" s="42">
        <v>0</v>
      </c>
      <c r="E22" s="153">
        <v>0</v>
      </c>
      <c r="F22" s="175" t="e">
        <f t="shared" si="1"/>
        <v>#DIV/0!</v>
      </c>
      <c r="G22" s="175" t="e">
        <f t="shared" si="2"/>
        <v>#DIV/0!</v>
      </c>
    </row>
    <row r="23" spans="2:10" ht="15.75" customHeight="1" x14ac:dyDescent="0.25">
      <c r="B23" s="156" t="s">
        <v>32</v>
      </c>
      <c r="C23" s="168">
        <f>C24+C28+C30+C34+C38</f>
        <v>670785.51000000013</v>
      </c>
      <c r="D23" s="168">
        <f>D24+D28+D30+D34+D38</f>
        <v>1069910.1099999999</v>
      </c>
      <c r="E23" s="158">
        <f>E24+E28+E30+E34+E38</f>
        <v>709856.28</v>
      </c>
      <c r="F23" s="174">
        <f t="shared" si="1"/>
        <v>105.82462939606432</v>
      </c>
      <c r="G23" s="174">
        <f t="shared" si="2"/>
        <v>66.347282202988083</v>
      </c>
    </row>
    <row r="24" spans="2:10" ht="15.75" customHeight="1" x14ac:dyDescent="0.25">
      <c r="B24" s="45" t="s">
        <v>14</v>
      </c>
      <c r="C24" s="160">
        <f>C25+C26+C27</f>
        <v>30682</v>
      </c>
      <c r="D24" s="160">
        <f>D25+D26+D27</f>
        <v>29813.129999999997</v>
      </c>
      <c r="E24" s="160">
        <f>SUM(E25:E27)</f>
        <v>25579.59</v>
      </c>
      <c r="F24" s="175">
        <f t="shared" si="1"/>
        <v>83.370021510983634</v>
      </c>
      <c r="G24" s="175">
        <f t="shared" si="2"/>
        <v>85.799746621706618</v>
      </c>
    </row>
    <row r="25" spans="2:10" ht="15.75" x14ac:dyDescent="0.25">
      <c r="B25" s="150" t="s">
        <v>15</v>
      </c>
      <c r="C25" s="43">
        <v>5646.39</v>
      </c>
      <c r="D25" s="42">
        <v>8694.9699999999993</v>
      </c>
      <c r="E25" s="43">
        <v>6810.07</v>
      </c>
      <c r="F25" s="175">
        <f t="shared" si="1"/>
        <v>120.60927424425162</v>
      </c>
      <c r="G25" s="175">
        <f t="shared" si="2"/>
        <v>78.32194935692705</v>
      </c>
    </row>
    <row r="26" spans="2:10" ht="15.75" x14ac:dyDescent="0.25">
      <c r="B26" s="150" t="s">
        <v>165</v>
      </c>
      <c r="C26" s="43">
        <v>21412.1</v>
      </c>
      <c r="D26" s="42">
        <v>18769.52</v>
      </c>
      <c r="E26" s="43">
        <v>18769.52</v>
      </c>
      <c r="F26" s="175">
        <f t="shared" si="1"/>
        <v>87.658473479948256</v>
      </c>
      <c r="G26" s="175">
        <f t="shared" si="2"/>
        <v>100</v>
      </c>
    </row>
    <row r="27" spans="2:10" ht="15.75" x14ac:dyDescent="0.25">
      <c r="B27" s="151" t="s">
        <v>154</v>
      </c>
      <c r="C27" s="43">
        <v>3623.51</v>
      </c>
      <c r="D27" s="42">
        <v>2348.64</v>
      </c>
      <c r="E27" s="43">
        <v>0</v>
      </c>
      <c r="F27" s="175">
        <f t="shared" si="1"/>
        <v>0</v>
      </c>
      <c r="G27" s="175">
        <f t="shared" si="2"/>
        <v>0</v>
      </c>
    </row>
    <row r="28" spans="2:10" ht="15.75" x14ac:dyDescent="0.25">
      <c r="B28" s="45" t="s">
        <v>16</v>
      </c>
      <c r="C28" s="160">
        <f>C29</f>
        <v>7194.5999999999995</v>
      </c>
      <c r="D28" s="115">
        <f>D29</f>
        <v>14200</v>
      </c>
      <c r="E28" s="116">
        <f>E29</f>
        <v>4664.01</v>
      </c>
      <c r="F28" s="175">
        <f t="shared" si="1"/>
        <v>64.826536569093491</v>
      </c>
      <c r="G28" s="175">
        <f t="shared" si="2"/>
        <v>32.845140845070425</v>
      </c>
    </row>
    <row r="29" spans="2:10" ht="15.75" x14ac:dyDescent="0.25">
      <c r="B29" s="152" t="s">
        <v>17</v>
      </c>
      <c r="C29" s="161">
        <v>7194.5999999999995</v>
      </c>
      <c r="D29" s="42">
        <v>14200</v>
      </c>
      <c r="E29" s="43">
        <v>4664.01</v>
      </c>
      <c r="F29" s="175">
        <f t="shared" si="1"/>
        <v>64.826536569093491</v>
      </c>
      <c r="G29" s="175">
        <f t="shared" si="2"/>
        <v>32.845140845070425</v>
      </c>
    </row>
    <row r="30" spans="2:10" ht="15.75" x14ac:dyDescent="0.25">
      <c r="B30" s="45" t="s">
        <v>155</v>
      </c>
      <c r="C30" s="160">
        <f>C31+C32+C33</f>
        <v>90053.69</v>
      </c>
      <c r="D30" s="160">
        <f>D31+D32+D33</f>
        <v>128197.64</v>
      </c>
      <c r="E30" s="116">
        <f>SUM(E31:E33)</f>
        <v>73451.81</v>
      </c>
      <c r="F30" s="175">
        <f t="shared" si="1"/>
        <v>81.564464487796101</v>
      </c>
      <c r="G30" s="175">
        <f t="shared" si="2"/>
        <v>57.295758330652582</v>
      </c>
    </row>
    <row r="31" spans="2:10" ht="15.75" x14ac:dyDescent="0.25">
      <c r="B31" s="152" t="s">
        <v>156</v>
      </c>
      <c r="C31" s="43">
        <v>592.36</v>
      </c>
      <c r="D31" s="42">
        <v>3450</v>
      </c>
      <c r="E31" s="43">
        <v>142.59</v>
      </c>
      <c r="F31" s="175">
        <f t="shared" si="1"/>
        <v>24.071510567897899</v>
      </c>
      <c r="G31" s="175">
        <f t="shared" si="2"/>
        <v>4.1330434782608698</v>
      </c>
    </row>
    <row r="32" spans="2:10" ht="15.75" x14ac:dyDescent="0.25">
      <c r="B32" s="152" t="s">
        <v>157</v>
      </c>
      <c r="C32" s="43">
        <v>15377.2</v>
      </c>
      <c r="D32" s="42">
        <v>11768.72</v>
      </c>
      <c r="E32" s="43">
        <v>1808.25</v>
      </c>
      <c r="F32" s="175">
        <f t="shared" si="1"/>
        <v>11.759292979215981</v>
      </c>
      <c r="G32" s="175">
        <f t="shared" si="2"/>
        <v>15.364882502090287</v>
      </c>
    </row>
    <row r="33" spans="2:9" ht="15.75" x14ac:dyDescent="0.25">
      <c r="B33" s="152" t="s">
        <v>158</v>
      </c>
      <c r="C33" s="43">
        <f>81862.53-7778.4</f>
        <v>74084.13</v>
      </c>
      <c r="D33" s="42">
        <v>112978.92</v>
      </c>
      <c r="E33" s="43">
        <v>71500.97</v>
      </c>
      <c r="F33" s="175">
        <f t="shared" si="1"/>
        <v>96.513207349536259</v>
      </c>
      <c r="G33" s="175">
        <f t="shared" si="2"/>
        <v>63.287000796254731</v>
      </c>
    </row>
    <row r="34" spans="2:9" ht="15.75" x14ac:dyDescent="0.25">
      <c r="B34" s="155" t="s">
        <v>159</v>
      </c>
      <c r="C34" s="160">
        <f>C35+C36+C37</f>
        <v>542855.22000000009</v>
      </c>
      <c r="D34" s="160">
        <f t="shared" ref="D34" si="3">D35+D36+D37</f>
        <v>897699.34</v>
      </c>
      <c r="E34" s="160">
        <f>SUM(E35:E37)</f>
        <v>606160.87</v>
      </c>
      <c r="F34" s="175">
        <f t="shared" si="1"/>
        <v>111.66160841190766</v>
      </c>
      <c r="G34" s="175">
        <f t="shared" si="2"/>
        <v>67.52381816388548</v>
      </c>
    </row>
    <row r="35" spans="2:9" ht="15" customHeight="1" x14ac:dyDescent="0.25">
      <c r="B35" s="152" t="s">
        <v>160</v>
      </c>
      <c r="C35" s="161">
        <v>541614.29</v>
      </c>
      <c r="D35" s="42">
        <v>859199.34</v>
      </c>
      <c r="E35" s="43">
        <v>602006.54</v>
      </c>
      <c r="F35" s="175">
        <f t="shared" si="1"/>
        <v>111.15041665536558</v>
      </c>
      <c r="G35" s="175">
        <f t="shared" si="2"/>
        <v>70.065991903578521</v>
      </c>
      <c r="H35" s="13"/>
      <c r="I35" s="13"/>
    </row>
    <row r="36" spans="2:9" ht="15.75" x14ac:dyDescent="0.25">
      <c r="B36" s="152" t="s">
        <v>161</v>
      </c>
      <c r="C36" s="161">
        <v>1240.93</v>
      </c>
      <c r="D36" s="42">
        <v>38500</v>
      </c>
      <c r="E36" s="43">
        <v>4154.33</v>
      </c>
      <c r="F36" s="175">
        <f t="shared" si="1"/>
        <v>334.77553125478471</v>
      </c>
      <c r="G36" s="175">
        <f t="shared" si="2"/>
        <v>10.790467532467533</v>
      </c>
      <c r="H36" s="13"/>
      <c r="I36" s="13"/>
    </row>
    <row r="37" spans="2:9" ht="15.75" x14ac:dyDescent="0.25">
      <c r="B37" s="152" t="s">
        <v>162</v>
      </c>
      <c r="C37" s="161">
        <v>0</v>
      </c>
      <c r="D37" s="42">
        <v>0</v>
      </c>
      <c r="E37" s="43">
        <v>0</v>
      </c>
      <c r="F37" s="175" t="e">
        <f t="shared" si="1"/>
        <v>#DIV/0!</v>
      </c>
      <c r="G37" s="175" t="e">
        <f t="shared" si="2"/>
        <v>#DIV/0!</v>
      </c>
      <c r="H37" s="13"/>
      <c r="I37" s="13"/>
    </row>
    <row r="38" spans="2:9" ht="15.75" x14ac:dyDescent="0.25">
      <c r="B38" s="155" t="s">
        <v>163</v>
      </c>
      <c r="C38" s="115">
        <v>0</v>
      </c>
      <c r="D38" s="115">
        <v>0</v>
      </c>
      <c r="E38" s="154">
        <v>0</v>
      </c>
      <c r="F38" s="175" t="e">
        <f t="shared" si="1"/>
        <v>#DIV/0!</v>
      </c>
      <c r="G38" s="175" t="e">
        <f t="shared" si="2"/>
        <v>#DIV/0!</v>
      </c>
    </row>
    <row r="39" spans="2:9" ht="15.75" x14ac:dyDescent="0.25">
      <c r="B39" s="152" t="s">
        <v>164</v>
      </c>
      <c r="C39" s="42">
        <v>0</v>
      </c>
      <c r="D39" s="42">
        <v>0</v>
      </c>
      <c r="E39" s="153">
        <v>0</v>
      </c>
      <c r="F39" s="175" t="e">
        <f t="shared" si="1"/>
        <v>#DIV/0!</v>
      </c>
      <c r="G39" s="175" t="e">
        <f t="shared" si="2"/>
        <v>#DIV/0!</v>
      </c>
    </row>
    <row r="40" spans="2:9" ht="15.75" x14ac:dyDescent="0.25">
      <c r="B40" s="328" t="s">
        <v>208</v>
      </c>
      <c r="C40" s="328"/>
      <c r="D40" s="328"/>
      <c r="E40" s="328"/>
      <c r="F40" s="328"/>
      <c r="G40" s="328"/>
    </row>
    <row r="41" spans="2:9" ht="15.75" x14ac:dyDescent="0.25">
      <c r="B41" s="179" t="s">
        <v>209</v>
      </c>
      <c r="C41" s="116">
        <v>15377.2</v>
      </c>
      <c r="D41" s="116">
        <v>11855.27</v>
      </c>
      <c r="E41" s="116">
        <v>1808.25</v>
      </c>
      <c r="F41" s="116">
        <f>E41/C41*100</f>
        <v>11.759292979215981</v>
      </c>
      <c r="G41" s="116">
        <f>E41/D41*100</f>
        <v>15.252710397991779</v>
      </c>
    </row>
    <row r="42" spans="2:9" ht="15.75" x14ac:dyDescent="0.25">
      <c r="B42" s="180" t="s">
        <v>223</v>
      </c>
      <c r="C42" s="188">
        <v>12537.47</v>
      </c>
      <c r="D42" s="345">
        <v>1485.23</v>
      </c>
      <c r="E42" s="346">
        <v>0</v>
      </c>
      <c r="F42" s="265">
        <f t="shared" ref="F42:F44" si="4">E42/C42*100</f>
        <v>0</v>
      </c>
      <c r="G42" s="116">
        <f>E42/D43*100</f>
        <v>0</v>
      </c>
    </row>
    <row r="43" spans="2:9" ht="15.75" x14ac:dyDescent="0.25">
      <c r="B43" s="180" t="s">
        <v>210</v>
      </c>
      <c r="C43" s="188">
        <v>2839.72</v>
      </c>
      <c r="D43" s="188">
        <v>8906.2199999999993</v>
      </c>
      <c r="E43" s="346">
        <v>1808.25</v>
      </c>
      <c r="F43" s="265">
        <f t="shared" si="4"/>
        <v>63.677052667164368</v>
      </c>
      <c r="G43" s="116" t="e">
        <f>E43/#REF!*100</f>
        <v>#REF!</v>
      </c>
    </row>
    <row r="44" spans="2:9" ht="15.75" x14ac:dyDescent="0.25">
      <c r="B44" s="103" t="s">
        <v>212</v>
      </c>
      <c r="C44" s="43">
        <v>0</v>
      </c>
      <c r="D44" s="347">
        <v>1463.82</v>
      </c>
      <c r="E44" s="347">
        <v>0</v>
      </c>
      <c r="F44" s="265" t="e">
        <f t="shared" si="4"/>
        <v>#DIV/0!</v>
      </c>
      <c r="G44" s="116">
        <f t="shared" ref="G42:G44" si="5">E44/D44*100</f>
        <v>0</v>
      </c>
    </row>
    <row r="45" spans="2:9" x14ac:dyDescent="0.25">
      <c r="B45" s="11"/>
      <c r="C45" s="11"/>
      <c r="D45" s="11"/>
      <c r="E45" s="216"/>
      <c r="F45" s="216"/>
      <c r="G45" s="216"/>
    </row>
  </sheetData>
  <mergeCells count="2">
    <mergeCell ref="B2:G2"/>
    <mergeCell ref="B40:G40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7"/>
  <sheetViews>
    <sheetView topLeftCell="A4" workbookViewId="0">
      <selection activeCell="F8" sqref="F8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5"/>
      <c r="C1" s="5"/>
      <c r="D1" s="5"/>
      <c r="E1" s="4"/>
      <c r="F1" s="4"/>
      <c r="G1" s="4"/>
    </row>
    <row r="2" spans="2:7" ht="15.75" customHeight="1" x14ac:dyDescent="0.25">
      <c r="B2" s="278" t="s">
        <v>30</v>
      </c>
      <c r="C2" s="278"/>
      <c r="D2" s="278"/>
      <c r="E2" s="278"/>
      <c r="F2" s="278"/>
      <c r="G2" s="278"/>
    </row>
    <row r="3" spans="2:7" ht="18" x14ac:dyDescent="0.25">
      <c r="B3" s="27"/>
      <c r="C3" s="27"/>
      <c r="D3" s="27"/>
      <c r="E3" s="28"/>
      <c r="F3" s="28"/>
      <c r="G3" s="28"/>
    </row>
    <row r="4" spans="2:7" ht="25.5" x14ac:dyDescent="0.25">
      <c r="B4" s="232" t="s">
        <v>7</v>
      </c>
      <c r="C4" s="268" t="s">
        <v>213</v>
      </c>
      <c r="D4" s="268" t="s">
        <v>225</v>
      </c>
      <c r="E4" s="268" t="s">
        <v>226</v>
      </c>
      <c r="F4" s="232" t="s">
        <v>18</v>
      </c>
      <c r="G4" s="232" t="s">
        <v>34</v>
      </c>
    </row>
    <row r="5" spans="2:7" x14ac:dyDescent="0.25">
      <c r="B5" s="232">
        <v>1</v>
      </c>
      <c r="C5" s="232">
        <v>2</v>
      </c>
      <c r="D5" s="232">
        <v>3</v>
      </c>
      <c r="E5" s="232">
        <v>4</v>
      </c>
      <c r="F5" s="232" t="s">
        <v>206</v>
      </c>
      <c r="G5" s="232" t="s">
        <v>207</v>
      </c>
    </row>
    <row r="6" spans="2:7" ht="15.75" customHeight="1" x14ac:dyDescent="0.25">
      <c r="B6" s="233" t="s">
        <v>32</v>
      </c>
      <c r="C6" s="234"/>
      <c r="D6" s="234"/>
      <c r="E6" s="235"/>
      <c r="F6" s="235"/>
      <c r="G6" s="235"/>
    </row>
    <row r="7" spans="2:7" ht="15.75" customHeight="1" x14ac:dyDescent="0.25">
      <c r="B7" s="236" t="s">
        <v>166</v>
      </c>
      <c r="C7" s="234"/>
      <c r="D7" s="234"/>
      <c r="E7" s="235"/>
      <c r="F7" s="235"/>
      <c r="G7" s="235"/>
    </row>
    <row r="8" spans="2:7" x14ac:dyDescent="0.25">
      <c r="B8" s="237" t="s">
        <v>167</v>
      </c>
      <c r="C8" s="242">
        <v>670785.51000000013</v>
      </c>
      <c r="D8" s="242">
        <v>1069910.1100000001</v>
      </c>
      <c r="E8" s="242">
        <v>709856.28</v>
      </c>
      <c r="F8" s="243">
        <f>E8/C8*100</f>
        <v>105.82462939606432</v>
      </c>
      <c r="G8" s="266">
        <f>E8/D8*100</f>
        <v>66.347282202988055</v>
      </c>
    </row>
    <row r="9" spans="2:7" x14ac:dyDescent="0.25">
      <c r="B9" s="237" t="s">
        <v>168</v>
      </c>
      <c r="C9" s="234">
        <v>600158.57000000007</v>
      </c>
      <c r="D9" s="234"/>
      <c r="E9" s="234">
        <f t="shared" ref="E9" si="0">E8-E10</f>
        <v>635366.40000000002</v>
      </c>
      <c r="F9" s="235">
        <f t="shared" ref="F9:F10" si="1">E9/C9*100</f>
        <v>105.86642126929885</v>
      </c>
      <c r="G9" s="267" t="e">
        <f t="shared" ref="G9:G10" si="2">E9/D9*100</f>
        <v>#DIV/0!</v>
      </c>
    </row>
    <row r="10" spans="2:7" x14ac:dyDescent="0.25">
      <c r="B10" s="238" t="s">
        <v>169</v>
      </c>
      <c r="C10" s="234">
        <v>70626.94</v>
      </c>
      <c r="D10" s="234"/>
      <c r="E10" s="234">
        <v>74489.88</v>
      </c>
      <c r="F10" s="235">
        <f t="shared" si="1"/>
        <v>105.46949931570022</v>
      </c>
      <c r="G10" s="267" t="e">
        <f t="shared" si="2"/>
        <v>#DIV/0!</v>
      </c>
    </row>
    <row r="11" spans="2:7" x14ac:dyDescent="0.25">
      <c r="B11" s="233"/>
      <c r="C11" s="234"/>
      <c r="D11" s="234"/>
      <c r="E11" s="239"/>
      <c r="F11" s="235"/>
      <c r="G11" s="235"/>
    </row>
    <row r="12" spans="2:7" x14ac:dyDescent="0.25">
      <c r="B12" s="240"/>
      <c r="C12" s="234"/>
      <c r="D12" s="234"/>
      <c r="E12" s="235"/>
      <c r="F12" s="235"/>
      <c r="G12" s="235"/>
    </row>
    <row r="13" spans="2:7" x14ac:dyDescent="0.25">
      <c r="B13" s="241" t="s">
        <v>12</v>
      </c>
      <c r="C13" s="234"/>
      <c r="D13" s="234"/>
      <c r="E13" s="235"/>
      <c r="F13" s="235"/>
      <c r="G13" s="235"/>
    </row>
    <row r="15" spans="2:7" x14ac:dyDescent="0.25">
      <c r="B15" s="13"/>
      <c r="C15" s="13"/>
      <c r="D15" s="13"/>
      <c r="E15" s="13"/>
      <c r="F15" s="13"/>
      <c r="G15" s="13"/>
    </row>
    <row r="16" spans="2:7" x14ac:dyDescent="0.25">
      <c r="B16" s="13"/>
      <c r="C16" s="13"/>
      <c r="D16" s="13"/>
      <c r="E16" s="13"/>
      <c r="F16" s="13"/>
      <c r="G16" s="13"/>
    </row>
    <row r="17" spans="2:7" x14ac:dyDescent="0.25">
      <c r="B17" s="13"/>
      <c r="C17" s="13"/>
      <c r="D17" s="13"/>
      <c r="E17" s="13"/>
      <c r="F17" s="13"/>
      <c r="G17" s="13"/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0"/>
  <sheetViews>
    <sheetView topLeftCell="A211" workbookViewId="0">
      <selection activeCell="H148" sqref="H148"/>
    </sheetView>
  </sheetViews>
  <sheetFormatPr defaultRowHeight="15" x14ac:dyDescent="0.25"/>
  <cols>
    <col min="1" max="1" width="14.28515625" customWidth="1"/>
    <col min="2" max="2" width="42.7109375" customWidth="1"/>
    <col min="3" max="4" width="22.140625" bestFit="1" customWidth="1"/>
    <col min="5" max="5" width="13.42578125" customWidth="1"/>
    <col min="6" max="6" width="24.28515625" customWidth="1"/>
  </cols>
  <sheetData>
    <row r="1" spans="1:6" ht="18" x14ac:dyDescent="0.25">
      <c r="B1" s="3"/>
      <c r="C1" s="3"/>
      <c r="D1" s="3"/>
      <c r="E1" s="3"/>
      <c r="F1" s="4"/>
    </row>
    <row r="2" spans="1:6" ht="18" customHeight="1" x14ac:dyDescent="0.25">
      <c r="A2" s="330" t="s">
        <v>8</v>
      </c>
      <c r="B2" s="330"/>
      <c r="C2" s="330"/>
      <c r="D2" s="330"/>
      <c r="E2" s="330"/>
      <c r="F2" s="7"/>
    </row>
    <row r="3" spans="1:6" ht="18" customHeight="1" x14ac:dyDescent="0.25">
      <c r="A3" s="330"/>
      <c r="B3" s="330"/>
      <c r="C3" s="330"/>
      <c r="D3" s="330"/>
      <c r="E3" s="330"/>
      <c r="F3" s="4"/>
    </row>
    <row r="4" spans="1:6" ht="15.75" x14ac:dyDescent="0.25">
      <c r="A4" s="334" t="s">
        <v>38</v>
      </c>
      <c r="B4" s="335"/>
      <c r="C4" s="335"/>
      <c r="D4" s="335"/>
      <c r="E4" s="336"/>
    </row>
    <row r="5" spans="1:6" ht="18" customHeight="1" x14ac:dyDescent="0.25">
      <c r="A5" s="331"/>
      <c r="B5" s="332"/>
      <c r="C5" s="332"/>
      <c r="D5" s="332"/>
      <c r="E5" s="333"/>
    </row>
    <row r="6" spans="1:6" ht="19.5" x14ac:dyDescent="0.25">
      <c r="A6" s="192">
        <v>2202</v>
      </c>
      <c r="B6" s="193" t="s">
        <v>71</v>
      </c>
      <c r="C6" s="194">
        <f>C36+C45+C58</f>
        <v>934204.72</v>
      </c>
      <c r="D6" s="194">
        <f>D36+D45+D58</f>
        <v>656973.67000000004</v>
      </c>
      <c r="E6" s="194">
        <f>D6/C6*100</f>
        <v>70.324379221719198</v>
      </c>
    </row>
    <row r="7" spans="1:6" ht="19.5" x14ac:dyDescent="0.25">
      <c r="A7" s="189" t="s">
        <v>72</v>
      </c>
      <c r="B7" s="190" t="s">
        <v>73</v>
      </c>
      <c r="C7" s="191"/>
      <c r="D7" s="191"/>
      <c r="E7" s="191"/>
    </row>
    <row r="8" spans="1:6" ht="33" customHeight="1" x14ac:dyDescent="0.25">
      <c r="A8" s="329" t="s">
        <v>74</v>
      </c>
      <c r="B8" s="329"/>
      <c r="C8" s="47"/>
      <c r="D8" s="47"/>
      <c r="E8" s="48"/>
    </row>
    <row r="9" spans="1:6" ht="45" x14ac:dyDescent="0.25">
      <c r="A9" s="49" t="s">
        <v>75</v>
      </c>
      <c r="B9" s="50" t="s">
        <v>76</v>
      </c>
      <c r="C9" s="51" t="s">
        <v>227</v>
      </c>
      <c r="D9" s="51" t="s">
        <v>228</v>
      </c>
      <c r="E9" s="52" t="s">
        <v>205</v>
      </c>
    </row>
    <row r="10" spans="1:6" x14ac:dyDescent="0.25">
      <c r="A10" s="53"/>
      <c r="B10" s="54">
        <v>1</v>
      </c>
      <c r="C10" s="55">
        <v>2</v>
      </c>
      <c r="D10" s="55">
        <v>3</v>
      </c>
      <c r="E10" s="56">
        <v>4</v>
      </c>
    </row>
    <row r="11" spans="1:6" x14ac:dyDescent="0.25">
      <c r="A11" s="57">
        <v>32111</v>
      </c>
      <c r="B11" s="58" t="s">
        <v>27</v>
      </c>
      <c r="C11" s="59">
        <v>3000</v>
      </c>
      <c r="D11" s="59">
        <v>1601.55</v>
      </c>
      <c r="E11" s="59">
        <f>D11/C11*100</f>
        <v>53.384999999999991</v>
      </c>
    </row>
    <row r="12" spans="1:6" x14ac:dyDescent="0.25">
      <c r="A12" s="60">
        <v>32131</v>
      </c>
      <c r="B12" s="61" t="s">
        <v>77</v>
      </c>
      <c r="C12" s="62">
        <v>300</v>
      </c>
      <c r="D12" s="62">
        <v>110</v>
      </c>
      <c r="E12" s="59">
        <f t="shared" ref="E12:E36" si="0">D12/C12*100</f>
        <v>36.666666666666664</v>
      </c>
    </row>
    <row r="13" spans="1:6" x14ac:dyDescent="0.25">
      <c r="A13" s="60">
        <v>32141</v>
      </c>
      <c r="B13" s="61" t="s">
        <v>78</v>
      </c>
      <c r="C13" s="62">
        <v>1300</v>
      </c>
      <c r="D13" s="62">
        <v>537</v>
      </c>
      <c r="E13" s="59">
        <f t="shared" si="0"/>
        <v>41.307692307692307</v>
      </c>
    </row>
    <row r="14" spans="1:6" x14ac:dyDescent="0.25">
      <c r="A14" s="60">
        <v>32211</v>
      </c>
      <c r="B14" s="61" t="s">
        <v>79</v>
      </c>
      <c r="C14" s="62">
        <v>7753.92</v>
      </c>
      <c r="D14" s="62">
        <v>2799.86</v>
      </c>
      <c r="E14" s="59">
        <f t="shared" si="0"/>
        <v>36.108961660682596</v>
      </c>
    </row>
    <row r="15" spans="1:6" x14ac:dyDescent="0.25">
      <c r="A15" s="60">
        <v>32221</v>
      </c>
      <c r="B15" s="61" t="s">
        <v>80</v>
      </c>
      <c r="C15" s="62">
        <v>650</v>
      </c>
      <c r="D15" s="62">
        <v>82.77</v>
      </c>
      <c r="E15" s="59">
        <f t="shared" si="0"/>
        <v>12.733846153846153</v>
      </c>
    </row>
    <row r="16" spans="1:6" x14ac:dyDescent="0.25">
      <c r="A16" s="60">
        <v>32231</v>
      </c>
      <c r="B16" s="61" t="s">
        <v>81</v>
      </c>
      <c r="C16" s="62">
        <v>11500</v>
      </c>
      <c r="D16" s="62">
        <v>7355.77</v>
      </c>
      <c r="E16" s="59">
        <f t="shared" si="0"/>
        <v>63.963217391304347</v>
      </c>
    </row>
    <row r="17" spans="1:5" x14ac:dyDescent="0.25">
      <c r="A17" s="60">
        <v>32233</v>
      </c>
      <c r="B17" s="61" t="s">
        <v>82</v>
      </c>
      <c r="C17" s="62">
        <v>22000</v>
      </c>
      <c r="D17" s="62">
        <v>4916.54</v>
      </c>
      <c r="E17" s="59">
        <f t="shared" si="0"/>
        <v>22.347909090909091</v>
      </c>
    </row>
    <row r="18" spans="1:5" x14ac:dyDescent="0.25">
      <c r="A18" s="60">
        <v>32241</v>
      </c>
      <c r="B18" s="61" t="s">
        <v>83</v>
      </c>
      <c r="C18" s="62">
        <v>2000</v>
      </c>
      <c r="D18" s="62">
        <v>1161.67</v>
      </c>
      <c r="E18" s="59">
        <f t="shared" si="0"/>
        <v>58.083500000000001</v>
      </c>
    </row>
    <row r="19" spans="1:5" x14ac:dyDescent="0.25">
      <c r="A19" s="60">
        <v>32251</v>
      </c>
      <c r="B19" s="61" t="s">
        <v>84</v>
      </c>
      <c r="C19" s="62">
        <v>1000</v>
      </c>
      <c r="D19" s="62">
        <v>545.16999999999996</v>
      </c>
      <c r="E19" s="59">
        <f t="shared" si="0"/>
        <v>54.516999999999996</v>
      </c>
    </row>
    <row r="20" spans="1:5" x14ac:dyDescent="0.25">
      <c r="A20" s="60">
        <v>32271</v>
      </c>
      <c r="B20" s="61" t="s">
        <v>216</v>
      </c>
      <c r="C20" s="62">
        <v>500</v>
      </c>
      <c r="D20" s="62">
        <v>0</v>
      </c>
      <c r="E20" s="59">
        <f t="shared" si="0"/>
        <v>0</v>
      </c>
    </row>
    <row r="21" spans="1:5" x14ac:dyDescent="0.25">
      <c r="A21" s="60">
        <v>32311</v>
      </c>
      <c r="B21" s="61" t="s">
        <v>85</v>
      </c>
      <c r="C21" s="62">
        <v>1550</v>
      </c>
      <c r="D21" s="62">
        <v>688.43</v>
      </c>
      <c r="E21" s="59">
        <f t="shared" si="0"/>
        <v>44.414838709677419</v>
      </c>
    </row>
    <row r="22" spans="1:5" x14ac:dyDescent="0.25">
      <c r="A22" s="60">
        <v>32321</v>
      </c>
      <c r="B22" s="61" t="s">
        <v>86</v>
      </c>
      <c r="C22" s="62">
        <v>2000</v>
      </c>
      <c r="D22" s="62">
        <v>1933.88</v>
      </c>
      <c r="E22" s="59">
        <f t="shared" si="0"/>
        <v>96.694000000000003</v>
      </c>
    </row>
    <row r="23" spans="1:5" x14ac:dyDescent="0.25">
      <c r="A23" s="60">
        <v>32332</v>
      </c>
      <c r="B23" s="61" t="s">
        <v>87</v>
      </c>
      <c r="C23" s="62">
        <v>0</v>
      </c>
      <c r="D23" s="62">
        <v>0</v>
      </c>
      <c r="E23" s="59" t="e">
        <f t="shared" si="0"/>
        <v>#DIV/0!</v>
      </c>
    </row>
    <row r="24" spans="1:5" x14ac:dyDescent="0.25">
      <c r="A24" s="60">
        <v>32341</v>
      </c>
      <c r="B24" s="61" t="s">
        <v>88</v>
      </c>
      <c r="C24" s="62">
        <v>6000</v>
      </c>
      <c r="D24" s="62">
        <v>3041.25</v>
      </c>
      <c r="E24" s="59">
        <f t="shared" si="0"/>
        <v>50.6875</v>
      </c>
    </row>
    <row r="25" spans="1:5" x14ac:dyDescent="0.25">
      <c r="A25" s="60">
        <v>32353</v>
      </c>
      <c r="B25" s="61" t="s">
        <v>89</v>
      </c>
      <c r="C25" s="62">
        <v>43096.67</v>
      </c>
      <c r="D25" s="62">
        <v>43096.67</v>
      </c>
      <c r="E25" s="59">
        <f t="shared" si="0"/>
        <v>100</v>
      </c>
    </row>
    <row r="26" spans="1:5" x14ac:dyDescent="0.25">
      <c r="A26" s="60">
        <v>32359</v>
      </c>
      <c r="B26" s="61" t="s">
        <v>90</v>
      </c>
      <c r="C26" s="62">
        <v>1000</v>
      </c>
      <c r="D26" s="62">
        <v>200</v>
      </c>
      <c r="E26" s="59">
        <f t="shared" si="0"/>
        <v>20</v>
      </c>
    </row>
    <row r="27" spans="1:5" x14ac:dyDescent="0.25">
      <c r="A27" s="60">
        <v>32359</v>
      </c>
      <c r="B27" s="61" t="s">
        <v>90</v>
      </c>
      <c r="C27" s="62">
        <v>7725.8</v>
      </c>
      <c r="D27" s="62">
        <v>7725.8</v>
      </c>
      <c r="E27" s="59">
        <f t="shared" si="0"/>
        <v>100</v>
      </c>
    </row>
    <row r="28" spans="1:5" x14ac:dyDescent="0.25">
      <c r="A28" s="60">
        <v>32361</v>
      </c>
      <c r="B28" s="61" t="s">
        <v>91</v>
      </c>
      <c r="C28" s="62">
        <v>3600</v>
      </c>
      <c r="D28" s="62">
        <v>128.78</v>
      </c>
      <c r="E28" s="59">
        <f t="shared" si="0"/>
        <v>3.5772222222222219</v>
      </c>
    </row>
    <row r="29" spans="1:5" x14ac:dyDescent="0.25">
      <c r="A29" s="60">
        <v>32379</v>
      </c>
      <c r="B29" s="61" t="s">
        <v>92</v>
      </c>
      <c r="C29" s="62">
        <v>500</v>
      </c>
      <c r="D29" s="62">
        <v>0</v>
      </c>
      <c r="E29" s="59">
        <f t="shared" si="0"/>
        <v>0</v>
      </c>
    </row>
    <row r="30" spans="1:5" x14ac:dyDescent="0.25">
      <c r="A30" s="60">
        <v>32381</v>
      </c>
      <c r="B30" s="61" t="s">
        <v>93</v>
      </c>
      <c r="C30" s="62">
        <v>1775</v>
      </c>
      <c r="D30" s="62">
        <v>609.91</v>
      </c>
      <c r="E30" s="59">
        <f t="shared" si="0"/>
        <v>34.36112676056338</v>
      </c>
    </row>
    <row r="31" spans="1:5" x14ac:dyDescent="0.25">
      <c r="A31" s="60">
        <v>32399</v>
      </c>
      <c r="B31" s="61" t="s">
        <v>94</v>
      </c>
      <c r="C31" s="62">
        <v>250</v>
      </c>
      <c r="D31" s="62">
        <v>81.680000000000007</v>
      </c>
      <c r="E31" s="59">
        <f t="shared" si="0"/>
        <v>32.672000000000004</v>
      </c>
    </row>
    <row r="32" spans="1:5" x14ac:dyDescent="0.25">
      <c r="A32" s="60">
        <v>32921</v>
      </c>
      <c r="B32" s="61" t="s">
        <v>95</v>
      </c>
      <c r="C32" s="62">
        <v>600</v>
      </c>
      <c r="D32" s="62">
        <v>151.71</v>
      </c>
      <c r="E32" s="59">
        <f t="shared" si="0"/>
        <v>25.285000000000004</v>
      </c>
    </row>
    <row r="33" spans="1:5" x14ac:dyDescent="0.25">
      <c r="A33" s="60">
        <v>32941</v>
      </c>
      <c r="B33" s="61" t="s">
        <v>96</v>
      </c>
      <c r="C33" s="62">
        <v>240</v>
      </c>
      <c r="D33" s="62">
        <v>205</v>
      </c>
      <c r="E33" s="59">
        <f t="shared" si="0"/>
        <v>85.416666666666657</v>
      </c>
    </row>
    <row r="34" spans="1:5" x14ac:dyDescent="0.25">
      <c r="A34" s="60">
        <v>32999</v>
      </c>
      <c r="B34" s="61" t="s">
        <v>97</v>
      </c>
      <c r="C34" s="62">
        <v>100</v>
      </c>
      <c r="D34" s="62">
        <v>60</v>
      </c>
      <c r="E34" s="59">
        <f t="shared" si="0"/>
        <v>60</v>
      </c>
    </row>
    <row r="35" spans="1:5" x14ac:dyDescent="0.25">
      <c r="A35" s="60">
        <v>34312</v>
      </c>
      <c r="B35" s="61" t="s">
        <v>217</v>
      </c>
      <c r="C35" s="62">
        <v>70</v>
      </c>
      <c r="D35" s="62">
        <v>0</v>
      </c>
      <c r="E35" s="59">
        <f t="shared" si="0"/>
        <v>0</v>
      </c>
    </row>
    <row r="36" spans="1:5" x14ac:dyDescent="0.25">
      <c r="A36" s="64" t="s">
        <v>98</v>
      </c>
      <c r="B36" s="11"/>
      <c r="C36" s="65">
        <f>SUM(C11:C35)</f>
        <v>118511.39</v>
      </c>
      <c r="D36" s="65">
        <f>SUM(D11:D35)</f>
        <v>77033.440000000002</v>
      </c>
      <c r="E36" s="59">
        <f t="shared" si="0"/>
        <v>65.000874599479431</v>
      </c>
    </row>
    <row r="37" spans="1:5" x14ac:dyDescent="0.25">
      <c r="A37" s="66"/>
      <c r="B37" s="67"/>
      <c r="C37" s="68"/>
      <c r="D37" s="68"/>
      <c r="E37" s="68"/>
    </row>
    <row r="40" spans="1:5" ht="19.5" x14ac:dyDescent="0.35">
      <c r="A40" s="195" t="s">
        <v>102</v>
      </c>
      <c r="B40" s="196" t="s">
        <v>103</v>
      </c>
      <c r="C40" s="197"/>
      <c r="D40" s="70"/>
      <c r="E40" s="70"/>
    </row>
    <row r="41" spans="1:5" ht="15.75" x14ac:dyDescent="0.25">
      <c r="A41" s="71" t="s">
        <v>99</v>
      </c>
      <c r="B41" s="72"/>
      <c r="C41" s="70"/>
      <c r="D41" s="70"/>
      <c r="E41" s="70"/>
    </row>
    <row r="42" spans="1:5" ht="45" x14ac:dyDescent="0.25">
      <c r="A42" s="49" t="s">
        <v>75</v>
      </c>
      <c r="B42" s="50" t="s">
        <v>76</v>
      </c>
      <c r="C42" s="51" t="s">
        <v>227</v>
      </c>
      <c r="D42" s="51" t="s">
        <v>228</v>
      </c>
      <c r="E42" s="52" t="s">
        <v>205</v>
      </c>
    </row>
    <row r="43" spans="1:5" x14ac:dyDescent="0.25">
      <c r="A43" s="73"/>
      <c r="B43" s="173">
        <v>1</v>
      </c>
      <c r="C43" s="55">
        <v>2</v>
      </c>
      <c r="D43" s="55">
        <v>3</v>
      </c>
      <c r="E43" s="56">
        <v>4</v>
      </c>
    </row>
    <row r="44" spans="1:5" x14ac:dyDescent="0.25">
      <c r="A44" s="79">
        <v>32321</v>
      </c>
      <c r="B44" s="58" t="s">
        <v>86</v>
      </c>
      <c r="C44" s="80">
        <v>2193.33</v>
      </c>
      <c r="D44" s="80">
        <v>2193.33</v>
      </c>
      <c r="E44" s="80">
        <f t="shared" ref="E44:E45" si="1">D44/C44*100</f>
        <v>100</v>
      </c>
    </row>
    <row r="45" spans="1:5" x14ac:dyDescent="0.25">
      <c r="A45" s="64" t="s">
        <v>98</v>
      </c>
      <c r="B45" s="75"/>
      <c r="C45" s="65">
        <f>SUM(C44:C44)</f>
        <v>2193.33</v>
      </c>
      <c r="D45" s="65">
        <f>SUM(D44:D44)</f>
        <v>2193.33</v>
      </c>
      <c r="E45" s="80">
        <f t="shared" si="1"/>
        <v>100</v>
      </c>
    </row>
    <row r="46" spans="1:5" x14ac:dyDescent="0.25">
      <c r="A46" s="76"/>
      <c r="B46" s="77"/>
      <c r="C46" s="78"/>
      <c r="D46" s="78"/>
      <c r="E46" s="84"/>
    </row>
    <row r="49" spans="1:5" ht="19.5" x14ac:dyDescent="0.35">
      <c r="A49" s="195" t="s">
        <v>106</v>
      </c>
      <c r="B49" s="196" t="s">
        <v>107</v>
      </c>
      <c r="C49" s="70"/>
      <c r="D49" s="70"/>
      <c r="E49" s="70"/>
    </row>
    <row r="50" spans="1:5" ht="15.75" x14ac:dyDescent="0.25">
      <c r="A50" s="71" t="s">
        <v>108</v>
      </c>
      <c r="B50" s="72"/>
      <c r="C50" s="70"/>
      <c r="D50" s="70"/>
      <c r="E50" s="70"/>
    </row>
    <row r="51" spans="1:5" ht="45" x14ac:dyDescent="0.25">
      <c r="A51" s="49" t="s">
        <v>75</v>
      </c>
      <c r="B51" s="50" t="s">
        <v>76</v>
      </c>
      <c r="C51" s="51" t="s">
        <v>227</v>
      </c>
      <c r="D51" s="51" t="s">
        <v>228</v>
      </c>
      <c r="E51" s="52" t="s">
        <v>205</v>
      </c>
    </row>
    <row r="52" spans="1:5" x14ac:dyDescent="0.25">
      <c r="A52" s="73"/>
      <c r="B52" s="173">
        <v>1</v>
      </c>
      <c r="C52" s="55">
        <v>2</v>
      </c>
      <c r="D52" s="55">
        <v>3</v>
      </c>
      <c r="E52" s="56">
        <v>4</v>
      </c>
    </row>
    <row r="53" spans="1:5" ht="27.75" customHeight="1" x14ac:dyDescent="0.25">
      <c r="A53" s="81">
        <v>31111</v>
      </c>
      <c r="B53" s="82" t="s">
        <v>26</v>
      </c>
      <c r="C53" s="87">
        <v>645000</v>
      </c>
      <c r="D53" s="92">
        <v>459813.99</v>
      </c>
      <c r="E53" s="63">
        <f>D53/C53*100</f>
        <v>71.288990697674421</v>
      </c>
    </row>
    <row r="54" spans="1:5" ht="24.75" customHeight="1" x14ac:dyDescent="0.25">
      <c r="A54" s="81">
        <v>3121</v>
      </c>
      <c r="B54" s="82" t="s">
        <v>109</v>
      </c>
      <c r="C54" s="87">
        <v>30000</v>
      </c>
      <c r="D54" s="92">
        <v>22714.82</v>
      </c>
      <c r="E54" s="63">
        <f t="shared" ref="E54:E61" si="2">D54/C54*100</f>
        <v>75.716066666666677</v>
      </c>
    </row>
    <row r="55" spans="1:5" ht="24" customHeight="1" x14ac:dyDescent="0.25">
      <c r="A55" s="81">
        <v>31321</v>
      </c>
      <c r="B55" s="82" t="s">
        <v>152</v>
      </c>
      <c r="C55" s="87">
        <v>90500</v>
      </c>
      <c r="D55" s="92">
        <v>75869.34</v>
      </c>
      <c r="E55" s="63">
        <f t="shared" si="2"/>
        <v>83.833524861878445</v>
      </c>
    </row>
    <row r="56" spans="1:5" ht="26.25" customHeight="1" x14ac:dyDescent="0.25">
      <c r="A56" s="81">
        <v>32121</v>
      </c>
      <c r="B56" s="82" t="s">
        <v>111</v>
      </c>
      <c r="C56" s="87">
        <v>45000</v>
      </c>
      <c r="D56" s="92">
        <v>15772.25</v>
      </c>
      <c r="E56" s="63">
        <f t="shared" si="2"/>
        <v>35.049444444444447</v>
      </c>
    </row>
    <row r="57" spans="1:5" ht="23.25" customHeight="1" x14ac:dyDescent="0.25">
      <c r="A57" s="81">
        <v>32955</v>
      </c>
      <c r="B57" s="82" t="s">
        <v>112</v>
      </c>
      <c r="C57" s="87">
        <v>3000</v>
      </c>
      <c r="D57" s="92">
        <v>3576.5</v>
      </c>
      <c r="E57" s="63">
        <f t="shared" si="2"/>
        <v>119.21666666666665</v>
      </c>
    </row>
    <row r="58" spans="1:5" x14ac:dyDescent="0.25">
      <c r="A58" s="64" t="s">
        <v>98</v>
      </c>
      <c r="B58" s="75"/>
      <c r="C58" s="65">
        <f>SUM(C53:C57)</f>
        <v>813500</v>
      </c>
      <c r="D58" s="83">
        <f>SUM(D53:D57)</f>
        <v>577746.9</v>
      </c>
      <c r="E58" s="63">
        <f t="shared" si="2"/>
        <v>71.019901659496014</v>
      </c>
    </row>
    <row r="59" spans="1:5" x14ac:dyDescent="0.25">
      <c r="A59" s="76"/>
      <c r="B59" s="77"/>
      <c r="C59" s="78"/>
      <c r="D59" s="78"/>
    </row>
    <row r="60" spans="1:5" x14ac:dyDescent="0.25">
      <c r="A60" s="76"/>
      <c r="B60" s="77"/>
      <c r="C60" s="78"/>
      <c r="D60" s="78"/>
    </row>
    <row r="61" spans="1:5" ht="39" x14ac:dyDescent="0.35">
      <c r="A61" s="249">
        <v>2203</v>
      </c>
      <c r="B61" s="251" t="s">
        <v>113</v>
      </c>
      <c r="C61" s="250">
        <f>C68+C131+C149+C159+C168+C176+C184</f>
        <v>115148.08</v>
      </c>
      <c r="D61" s="250">
        <f t="shared" ref="D61" si="3">D68+D131+D149+D159+D168+D176+D184</f>
        <v>36158.840000000004</v>
      </c>
      <c r="E61" s="274">
        <f t="shared" si="2"/>
        <v>31.402034667013123</v>
      </c>
    </row>
    <row r="62" spans="1:5" x14ac:dyDescent="0.25">
      <c r="A62" s="21"/>
      <c r="C62" s="70"/>
      <c r="D62" s="70"/>
      <c r="E62" s="70"/>
    </row>
    <row r="63" spans="1:5" ht="19.5" x14ac:dyDescent="0.35">
      <c r="A63" s="195" t="s">
        <v>114</v>
      </c>
      <c r="B63" s="196" t="s">
        <v>115</v>
      </c>
      <c r="C63" s="197"/>
      <c r="D63" s="70"/>
      <c r="E63" s="70"/>
    </row>
    <row r="64" spans="1:5" ht="15.75" x14ac:dyDescent="0.25">
      <c r="A64" s="71" t="s">
        <v>116</v>
      </c>
      <c r="B64" s="72"/>
      <c r="C64" s="70"/>
      <c r="D64" s="70"/>
      <c r="E64" s="70"/>
    </row>
    <row r="65" spans="1:7" ht="45" x14ac:dyDescent="0.25">
      <c r="A65" s="49" t="s">
        <v>75</v>
      </c>
      <c r="B65" s="50" t="s">
        <v>76</v>
      </c>
      <c r="C65" s="51" t="s">
        <v>227</v>
      </c>
      <c r="D65" s="51" t="s">
        <v>228</v>
      </c>
      <c r="E65" s="52" t="s">
        <v>205</v>
      </c>
    </row>
    <row r="66" spans="1:7" x14ac:dyDescent="0.25">
      <c r="A66" s="73"/>
      <c r="B66" s="173">
        <v>1</v>
      </c>
      <c r="C66" s="55">
        <v>2</v>
      </c>
      <c r="D66" s="55">
        <v>3</v>
      </c>
      <c r="E66" s="56">
        <v>4</v>
      </c>
    </row>
    <row r="67" spans="1:7" ht="27.75" customHeight="1" x14ac:dyDescent="0.25">
      <c r="A67" s="60">
        <v>32999</v>
      </c>
      <c r="B67" s="74" t="s">
        <v>117</v>
      </c>
      <c r="C67" s="62">
        <v>800</v>
      </c>
      <c r="D67" s="62">
        <v>400</v>
      </c>
      <c r="E67" s="62">
        <f>D67/C67*100</f>
        <v>50</v>
      </c>
    </row>
    <row r="68" spans="1:7" x14ac:dyDescent="0.25">
      <c r="A68" s="64" t="s">
        <v>98</v>
      </c>
      <c r="B68" s="75"/>
      <c r="C68" s="65">
        <f>SUM(C67)</f>
        <v>800</v>
      </c>
      <c r="D68" s="65">
        <f t="shared" ref="D68" si="4">SUM(D67)</f>
        <v>400</v>
      </c>
      <c r="E68" s="62">
        <f>D68/C68*100</f>
        <v>50</v>
      </c>
    </row>
    <row r="69" spans="1:7" x14ac:dyDescent="0.25">
      <c r="A69" s="76"/>
      <c r="B69" s="77"/>
      <c r="C69" s="78"/>
      <c r="D69" s="78"/>
      <c r="E69" s="78"/>
    </row>
    <row r="70" spans="1:7" x14ac:dyDescent="0.25">
      <c r="A70" s="76"/>
      <c r="B70" s="77"/>
      <c r="C70" s="78"/>
      <c r="D70" s="78"/>
      <c r="E70" s="78"/>
    </row>
    <row r="71" spans="1:7" x14ac:dyDescent="0.25">
      <c r="A71" s="76"/>
      <c r="B71" s="77"/>
      <c r="C71" s="78"/>
      <c r="D71" s="78"/>
      <c r="E71" s="84"/>
    </row>
    <row r="72" spans="1:7" x14ac:dyDescent="0.25">
      <c r="A72" s="85"/>
      <c r="B72" s="72"/>
      <c r="C72" s="70"/>
      <c r="D72" s="70"/>
      <c r="E72" s="70"/>
    </row>
    <row r="73" spans="1:7" ht="19.5" x14ac:dyDescent="0.35">
      <c r="A73" s="200" t="s">
        <v>118</v>
      </c>
      <c r="B73" s="201" t="s">
        <v>119</v>
      </c>
      <c r="C73" s="202"/>
      <c r="D73" s="70"/>
      <c r="E73" s="70"/>
    </row>
    <row r="74" spans="1:7" ht="15.75" x14ac:dyDescent="0.25">
      <c r="A74" s="71" t="s">
        <v>108</v>
      </c>
      <c r="B74" s="72"/>
      <c r="C74" s="70"/>
      <c r="D74" s="70"/>
      <c r="E74" s="70"/>
    </row>
    <row r="75" spans="1:7" ht="45" x14ac:dyDescent="0.25">
      <c r="A75" s="49" t="s">
        <v>75</v>
      </c>
      <c r="B75" s="50" t="s">
        <v>76</v>
      </c>
      <c r="C75" s="51" t="s">
        <v>227</v>
      </c>
      <c r="D75" s="51" t="s">
        <v>228</v>
      </c>
      <c r="E75" s="52" t="s">
        <v>205</v>
      </c>
    </row>
    <row r="76" spans="1:7" x14ac:dyDescent="0.25">
      <c r="A76" s="86"/>
      <c r="B76" s="54">
        <v>1</v>
      </c>
      <c r="C76" s="55">
        <v>2</v>
      </c>
      <c r="D76" s="55">
        <v>3</v>
      </c>
      <c r="E76" s="56">
        <v>4</v>
      </c>
    </row>
    <row r="77" spans="1:7" x14ac:dyDescent="0.25">
      <c r="A77" s="172">
        <v>42411</v>
      </c>
      <c r="B77" s="169" t="s">
        <v>120</v>
      </c>
      <c r="C77" s="88">
        <v>300</v>
      </c>
      <c r="D77" s="88">
        <v>0</v>
      </c>
      <c r="E77" s="92">
        <f>D77/C77*100</f>
        <v>0</v>
      </c>
    </row>
    <row r="78" spans="1:7" x14ac:dyDescent="0.25">
      <c r="A78" s="172">
        <v>42411</v>
      </c>
      <c r="B78" s="169" t="s">
        <v>120</v>
      </c>
      <c r="C78" s="88">
        <v>300</v>
      </c>
      <c r="D78" s="88">
        <v>0</v>
      </c>
      <c r="E78" s="92">
        <f>D78/C78*100</f>
        <v>0</v>
      </c>
    </row>
    <row r="79" spans="1:7" x14ac:dyDescent="0.25">
      <c r="A79" s="172">
        <v>32211</v>
      </c>
      <c r="B79" s="169" t="s">
        <v>153</v>
      </c>
      <c r="C79" s="88">
        <v>520</v>
      </c>
      <c r="D79" s="88">
        <v>0</v>
      </c>
      <c r="E79" s="92">
        <f t="shared" ref="E79:E81" si="5">D79/C79*100</f>
        <v>0</v>
      </c>
      <c r="G79" s="244"/>
    </row>
    <row r="80" spans="1:7" x14ac:dyDescent="0.25">
      <c r="A80" s="172">
        <v>37221</v>
      </c>
      <c r="B80" s="169" t="s">
        <v>230</v>
      </c>
      <c r="C80" s="88">
        <v>0</v>
      </c>
      <c r="D80" s="88">
        <v>281.52</v>
      </c>
      <c r="E80" s="92" t="e">
        <f t="shared" si="5"/>
        <v>#DIV/0!</v>
      </c>
      <c r="G80" s="244"/>
    </row>
    <row r="81" spans="1:5" x14ac:dyDescent="0.25">
      <c r="A81" s="64" t="s">
        <v>98</v>
      </c>
      <c r="B81" s="75"/>
      <c r="C81" s="65">
        <f>SUM(C77:C79)</f>
        <v>1120</v>
      </c>
      <c r="D81" s="65">
        <f>SUM(D77:D80)</f>
        <v>281.52</v>
      </c>
      <c r="E81" s="87">
        <f t="shared" si="5"/>
        <v>25.135714285714283</v>
      </c>
    </row>
    <row r="82" spans="1:5" x14ac:dyDescent="0.25">
      <c r="A82" s="89"/>
      <c r="B82" s="90"/>
      <c r="C82" s="91"/>
      <c r="D82" s="91"/>
      <c r="E82" s="91"/>
    </row>
    <row r="83" spans="1:5" ht="15.75" x14ac:dyDescent="0.25">
      <c r="A83" s="71" t="s">
        <v>122</v>
      </c>
      <c r="B83" s="72"/>
      <c r="C83" s="70"/>
      <c r="D83" s="70"/>
      <c r="E83" s="70"/>
    </row>
    <row r="84" spans="1:5" ht="45" x14ac:dyDescent="0.25">
      <c r="A84" s="49" t="s">
        <v>75</v>
      </c>
      <c r="B84" s="50" t="s">
        <v>76</v>
      </c>
      <c r="C84" s="51" t="s">
        <v>227</v>
      </c>
      <c r="D84" s="51" t="s">
        <v>228</v>
      </c>
      <c r="E84" s="52" t="s">
        <v>205</v>
      </c>
    </row>
    <row r="85" spans="1:5" x14ac:dyDescent="0.25">
      <c r="A85" s="86"/>
      <c r="B85" s="54">
        <v>1</v>
      </c>
      <c r="C85" s="55">
        <v>2</v>
      </c>
      <c r="D85" s="55">
        <v>3</v>
      </c>
      <c r="E85" s="56">
        <v>4</v>
      </c>
    </row>
    <row r="86" spans="1:5" x14ac:dyDescent="0.25">
      <c r="A86" s="60">
        <v>32241</v>
      </c>
      <c r="B86" s="169" t="s">
        <v>83</v>
      </c>
      <c r="C86" s="88">
        <v>4668.72</v>
      </c>
      <c r="D86" s="88">
        <v>1125</v>
      </c>
      <c r="E86" s="92">
        <f>D86/C86*100</f>
        <v>24.096540379375931</v>
      </c>
    </row>
    <row r="87" spans="1:5" x14ac:dyDescent="0.25">
      <c r="A87" s="60">
        <v>32251</v>
      </c>
      <c r="B87" s="169" t="s">
        <v>84</v>
      </c>
      <c r="C87" s="88">
        <v>1000</v>
      </c>
      <c r="D87" s="88">
        <v>349.03</v>
      </c>
      <c r="E87" s="92">
        <f t="shared" ref="E87:E92" si="6">D87/C87*100</f>
        <v>34.902999999999992</v>
      </c>
    </row>
    <row r="88" spans="1:5" x14ac:dyDescent="0.25">
      <c r="A88" s="60">
        <v>32321</v>
      </c>
      <c r="B88" s="169" t="s">
        <v>123</v>
      </c>
      <c r="C88" s="88">
        <v>1000</v>
      </c>
      <c r="D88" s="88">
        <v>0</v>
      </c>
      <c r="E88" s="92">
        <f t="shared" si="6"/>
        <v>0</v>
      </c>
    </row>
    <row r="89" spans="1:5" x14ac:dyDescent="0.25">
      <c r="A89" s="60">
        <v>3211</v>
      </c>
      <c r="B89" s="169" t="s">
        <v>124</v>
      </c>
      <c r="C89" s="88">
        <v>1100</v>
      </c>
      <c r="D89" s="88">
        <v>334.22</v>
      </c>
      <c r="E89" s="92">
        <f t="shared" si="6"/>
        <v>30.38363636363637</v>
      </c>
    </row>
    <row r="90" spans="1:5" x14ac:dyDescent="0.25">
      <c r="A90" s="60">
        <v>42211</v>
      </c>
      <c r="B90" s="169" t="s">
        <v>218</v>
      </c>
      <c r="C90" s="88">
        <v>1000</v>
      </c>
      <c r="D90" s="88">
        <v>0</v>
      </c>
      <c r="E90" s="92">
        <f t="shared" si="6"/>
        <v>0</v>
      </c>
    </row>
    <row r="91" spans="1:5" x14ac:dyDescent="0.25">
      <c r="A91" s="60">
        <v>42212</v>
      </c>
      <c r="B91" s="169" t="s">
        <v>136</v>
      </c>
      <c r="C91" s="88">
        <v>2000</v>
      </c>
      <c r="D91" s="88">
        <v>0</v>
      </c>
      <c r="E91" s="92">
        <f t="shared" si="6"/>
        <v>0</v>
      </c>
    </row>
    <row r="92" spans="1:5" x14ac:dyDescent="0.25">
      <c r="A92" s="64" t="s">
        <v>98</v>
      </c>
      <c r="B92" s="75"/>
      <c r="C92" s="245">
        <f>SUM(C86:C91)</f>
        <v>10768.720000000001</v>
      </c>
      <c r="D92" s="245">
        <f>SUM(D86:D91)</f>
        <v>1808.25</v>
      </c>
      <c r="E92" s="246">
        <f t="shared" si="6"/>
        <v>16.791689262976469</v>
      </c>
    </row>
    <row r="93" spans="1:5" x14ac:dyDescent="0.25">
      <c r="A93" s="85"/>
      <c r="B93" s="72"/>
      <c r="C93" s="70"/>
      <c r="D93" s="70"/>
      <c r="E93" s="92"/>
    </row>
    <row r="94" spans="1:5" ht="15.75" x14ac:dyDescent="0.25">
      <c r="A94" s="71" t="s">
        <v>127</v>
      </c>
      <c r="B94" s="72"/>
      <c r="C94" s="70"/>
      <c r="D94" s="70"/>
      <c r="E94" s="70"/>
    </row>
    <row r="95" spans="1:5" ht="45" x14ac:dyDescent="0.25">
      <c r="A95" s="49" t="s">
        <v>75</v>
      </c>
      <c r="B95" s="50" t="s">
        <v>76</v>
      </c>
      <c r="C95" s="51" t="s">
        <v>227</v>
      </c>
      <c r="D95" s="51" t="s">
        <v>228</v>
      </c>
      <c r="E95" s="52" t="s">
        <v>205</v>
      </c>
    </row>
    <row r="96" spans="1:5" x14ac:dyDescent="0.25">
      <c r="A96" s="86"/>
      <c r="B96" s="54">
        <v>1</v>
      </c>
      <c r="C96" s="55">
        <v>2</v>
      </c>
      <c r="D96" s="55">
        <v>3</v>
      </c>
      <c r="E96" s="56">
        <v>4</v>
      </c>
    </row>
    <row r="97" spans="1:5" x14ac:dyDescent="0.25">
      <c r="A97" s="170">
        <v>32111</v>
      </c>
      <c r="B97" s="275" t="s">
        <v>27</v>
      </c>
      <c r="C97" s="171">
        <v>1000</v>
      </c>
      <c r="D97" s="171">
        <v>0</v>
      </c>
      <c r="E97" s="171">
        <f>D97/C97*100</f>
        <v>0</v>
      </c>
    </row>
    <row r="98" spans="1:5" x14ac:dyDescent="0.25">
      <c r="A98" s="172">
        <v>32211</v>
      </c>
      <c r="B98" s="169" t="s">
        <v>124</v>
      </c>
      <c r="C98" s="88">
        <v>3000</v>
      </c>
      <c r="D98" s="88">
        <v>282</v>
      </c>
      <c r="E98" s="171">
        <f t="shared" ref="E98:E105" si="7">D98/C98*100</f>
        <v>9.4</v>
      </c>
    </row>
    <row r="99" spans="1:5" x14ac:dyDescent="0.25">
      <c r="A99" s="60">
        <v>32241</v>
      </c>
      <c r="B99" s="169" t="s">
        <v>83</v>
      </c>
      <c r="C99" s="88">
        <v>1500</v>
      </c>
      <c r="D99" s="88">
        <v>1288.69</v>
      </c>
      <c r="E99" s="171">
        <f t="shared" si="7"/>
        <v>85.912666666666667</v>
      </c>
    </row>
    <row r="100" spans="1:5" x14ac:dyDescent="0.25">
      <c r="A100" s="60">
        <v>32251</v>
      </c>
      <c r="B100" s="169" t="s">
        <v>84</v>
      </c>
      <c r="C100" s="88">
        <v>1500</v>
      </c>
      <c r="D100" s="88">
        <v>786.82</v>
      </c>
      <c r="E100" s="171">
        <f t="shared" si="7"/>
        <v>52.454666666666668</v>
      </c>
    </row>
    <row r="101" spans="1:5" x14ac:dyDescent="0.25">
      <c r="A101" s="60">
        <v>32321</v>
      </c>
      <c r="B101" s="169" t="s">
        <v>128</v>
      </c>
      <c r="C101" s="88">
        <v>3000</v>
      </c>
      <c r="D101" s="88">
        <v>2306.5</v>
      </c>
      <c r="E101" s="171">
        <f t="shared" si="7"/>
        <v>76.88333333333334</v>
      </c>
    </row>
    <row r="102" spans="1:5" x14ac:dyDescent="0.25">
      <c r="A102" s="60">
        <v>32349</v>
      </c>
      <c r="B102" s="169" t="s">
        <v>88</v>
      </c>
      <c r="C102" s="88">
        <v>1000</v>
      </c>
      <c r="D102" s="88">
        <v>0</v>
      </c>
      <c r="E102" s="171">
        <f t="shared" si="7"/>
        <v>0</v>
      </c>
    </row>
    <row r="103" spans="1:5" ht="15.75" customHeight="1" x14ac:dyDescent="0.25">
      <c r="A103" s="60">
        <v>32359</v>
      </c>
      <c r="B103" s="169" t="s">
        <v>125</v>
      </c>
      <c r="C103" s="88">
        <v>1200</v>
      </c>
      <c r="D103" s="88">
        <v>0</v>
      </c>
      <c r="E103" s="171">
        <f t="shared" si="7"/>
        <v>0</v>
      </c>
    </row>
    <row r="104" spans="1:5" x14ac:dyDescent="0.25">
      <c r="A104" s="60">
        <v>42212</v>
      </c>
      <c r="B104" s="169" t="s">
        <v>136</v>
      </c>
      <c r="C104" s="88">
        <v>2000</v>
      </c>
      <c r="D104" s="88">
        <v>0</v>
      </c>
      <c r="E104" s="171">
        <f t="shared" si="7"/>
        <v>0</v>
      </c>
    </row>
    <row r="105" spans="1:5" x14ac:dyDescent="0.25">
      <c r="A105" s="64" t="s">
        <v>98</v>
      </c>
      <c r="B105" s="75"/>
      <c r="C105" s="245">
        <f>SUM(C97:C104)</f>
        <v>14200</v>
      </c>
      <c r="D105" s="245">
        <f>SUM(D97:D104)</f>
        <v>4664.01</v>
      </c>
      <c r="E105" s="171">
        <f t="shared" si="7"/>
        <v>32.845140845070425</v>
      </c>
    </row>
    <row r="106" spans="1:5" x14ac:dyDescent="0.25">
      <c r="A106" s="72"/>
      <c r="B106" s="72"/>
      <c r="C106" s="70"/>
      <c r="D106" s="70"/>
      <c r="E106" s="70"/>
    </row>
    <row r="107" spans="1:5" x14ac:dyDescent="0.25">
      <c r="A107" s="93"/>
      <c r="B107" s="94"/>
      <c r="C107" s="91"/>
      <c r="D107" s="91"/>
      <c r="E107" s="91"/>
    </row>
    <row r="108" spans="1:5" ht="15.75" x14ac:dyDescent="0.25">
      <c r="A108" s="71" t="s">
        <v>129</v>
      </c>
      <c r="B108" s="72"/>
      <c r="C108" s="70"/>
      <c r="D108" s="70"/>
      <c r="E108" s="70"/>
    </row>
    <row r="109" spans="1:5" ht="45" x14ac:dyDescent="0.25">
      <c r="A109" s="49" t="s">
        <v>75</v>
      </c>
      <c r="B109" s="50" t="s">
        <v>76</v>
      </c>
      <c r="C109" s="51" t="s">
        <v>227</v>
      </c>
      <c r="D109" s="51" t="s">
        <v>228</v>
      </c>
      <c r="E109" s="52" t="s">
        <v>205</v>
      </c>
    </row>
    <row r="110" spans="1:5" x14ac:dyDescent="0.25">
      <c r="A110" s="86"/>
      <c r="B110" s="54">
        <v>1</v>
      </c>
      <c r="C110" s="55">
        <v>2</v>
      </c>
      <c r="D110" s="55">
        <v>3</v>
      </c>
      <c r="E110" s="56">
        <v>4</v>
      </c>
    </row>
    <row r="111" spans="1:5" x14ac:dyDescent="0.25">
      <c r="A111" s="60">
        <v>32321</v>
      </c>
      <c r="B111" s="169" t="s">
        <v>123</v>
      </c>
      <c r="C111" s="171">
        <v>550</v>
      </c>
      <c r="D111" s="171">
        <v>0</v>
      </c>
      <c r="E111" s="171">
        <f>D111/C111*100</f>
        <v>0</v>
      </c>
    </row>
    <row r="112" spans="1:5" x14ac:dyDescent="0.25">
      <c r="A112" s="60">
        <v>32999</v>
      </c>
      <c r="B112" s="169" t="s">
        <v>97</v>
      </c>
      <c r="C112" s="247">
        <v>700</v>
      </c>
      <c r="D112" s="62">
        <v>0</v>
      </c>
      <c r="E112" s="171">
        <f t="shared" ref="E112:E114" si="8">D112/C112*100</f>
        <v>0</v>
      </c>
    </row>
    <row r="113" spans="1:5" x14ac:dyDescent="0.25">
      <c r="A113" s="60">
        <v>42411</v>
      </c>
      <c r="B113" s="169" t="s">
        <v>120</v>
      </c>
      <c r="C113" s="62">
        <v>200</v>
      </c>
      <c r="D113" s="62">
        <v>0</v>
      </c>
      <c r="E113" s="171">
        <f t="shared" si="8"/>
        <v>0</v>
      </c>
    </row>
    <row r="114" spans="1:5" x14ac:dyDescent="0.25">
      <c r="A114" s="64" t="s">
        <v>98</v>
      </c>
      <c r="B114" s="75"/>
      <c r="C114" s="65">
        <f>SUM(C111:C113)</f>
        <v>1450</v>
      </c>
      <c r="D114" s="65">
        <f>SUM(D111:D113)</f>
        <v>0</v>
      </c>
      <c r="E114" s="171">
        <f t="shared" si="8"/>
        <v>0</v>
      </c>
    </row>
    <row r="115" spans="1:5" x14ac:dyDescent="0.25">
      <c r="A115" s="76"/>
      <c r="B115" s="77"/>
      <c r="C115" s="78"/>
      <c r="D115" s="78"/>
      <c r="E115" s="78"/>
    </row>
    <row r="116" spans="1:5" x14ac:dyDescent="0.25">
      <c r="A116" s="76"/>
      <c r="B116" s="77"/>
      <c r="C116" s="78"/>
      <c r="D116" s="78"/>
      <c r="E116" s="78"/>
    </row>
    <row r="117" spans="1:5" x14ac:dyDescent="0.25">
      <c r="A117" s="76"/>
      <c r="B117" s="77"/>
      <c r="C117" s="78"/>
      <c r="D117" s="78"/>
      <c r="E117" s="78"/>
    </row>
    <row r="118" spans="1:5" x14ac:dyDescent="0.25">
      <c r="A118" s="76"/>
      <c r="B118" s="77"/>
      <c r="C118" s="78"/>
      <c r="D118" s="78"/>
      <c r="E118" s="78"/>
    </row>
    <row r="119" spans="1:5" ht="15.75" x14ac:dyDescent="0.25">
      <c r="A119" s="71" t="s">
        <v>130</v>
      </c>
      <c r="B119" s="72"/>
      <c r="C119" s="70"/>
      <c r="D119" s="70"/>
      <c r="E119" s="70"/>
    </row>
    <row r="120" spans="1:5" ht="45" x14ac:dyDescent="0.25">
      <c r="A120" s="49" t="s">
        <v>75</v>
      </c>
      <c r="B120" s="50" t="s">
        <v>76</v>
      </c>
      <c r="C120" s="51" t="s">
        <v>227</v>
      </c>
      <c r="D120" s="51" t="s">
        <v>228</v>
      </c>
      <c r="E120" s="52" t="s">
        <v>205</v>
      </c>
    </row>
    <row r="121" spans="1:5" x14ac:dyDescent="0.25">
      <c r="A121" s="86"/>
      <c r="B121" s="54">
        <v>1</v>
      </c>
      <c r="C121" s="55">
        <v>2</v>
      </c>
      <c r="D121" s="55">
        <v>3</v>
      </c>
      <c r="E121" s="56">
        <v>4</v>
      </c>
    </row>
    <row r="122" spans="1:5" x14ac:dyDescent="0.25">
      <c r="A122" s="60">
        <v>32321</v>
      </c>
      <c r="B122" s="169" t="s">
        <v>128</v>
      </c>
      <c r="C122" s="88">
        <v>7500</v>
      </c>
      <c r="D122" s="88">
        <v>0</v>
      </c>
      <c r="E122" s="87">
        <f t="shared" ref="E122:E131" si="9">D122/C122*100</f>
        <v>0</v>
      </c>
    </row>
    <row r="123" spans="1:5" x14ac:dyDescent="0.25">
      <c r="A123" s="60">
        <v>32931</v>
      </c>
      <c r="B123" s="169" t="s">
        <v>131</v>
      </c>
      <c r="C123" s="88">
        <v>3000</v>
      </c>
      <c r="D123" s="88">
        <v>0</v>
      </c>
      <c r="E123" s="87">
        <f t="shared" si="9"/>
        <v>0</v>
      </c>
    </row>
    <row r="124" spans="1:5" x14ac:dyDescent="0.25">
      <c r="A124" s="60">
        <v>37229</v>
      </c>
      <c r="B124" s="169" t="s">
        <v>132</v>
      </c>
      <c r="C124" s="88">
        <v>17000</v>
      </c>
      <c r="D124" s="88">
        <v>0</v>
      </c>
      <c r="E124" s="87">
        <f t="shared" si="9"/>
        <v>0</v>
      </c>
    </row>
    <row r="125" spans="1:5" x14ac:dyDescent="0.25">
      <c r="A125" s="60">
        <v>32999</v>
      </c>
      <c r="B125" s="169" t="s">
        <v>97</v>
      </c>
      <c r="C125" s="88">
        <v>3000</v>
      </c>
      <c r="D125" s="88">
        <v>0</v>
      </c>
      <c r="E125" s="87">
        <f t="shared" si="9"/>
        <v>0</v>
      </c>
    </row>
    <row r="126" spans="1:5" x14ac:dyDescent="0.25">
      <c r="A126" s="60">
        <v>32349</v>
      </c>
      <c r="B126" s="169" t="s">
        <v>88</v>
      </c>
      <c r="C126" s="88">
        <v>3000</v>
      </c>
      <c r="D126" s="88">
        <v>914.38</v>
      </c>
      <c r="E126" s="87">
        <f t="shared" si="9"/>
        <v>30.479333333333329</v>
      </c>
    </row>
    <row r="127" spans="1:5" x14ac:dyDescent="0.25">
      <c r="A127" s="60">
        <v>42211</v>
      </c>
      <c r="B127" s="169" t="s">
        <v>218</v>
      </c>
      <c r="C127" s="88">
        <v>0</v>
      </c>
      <c r="D127" s="88">
        <v>3239.95</v>
      </c>
      <c r="E127" s="87" t="e">
        <f t="shared" si="9"/>
        <v>#DIV/0!</v>
      </c>
    </row>
    <row r="128" spans="1:5" x14ac:dyDescent="0.25">
      <c r="A128" s="60">
        <v>42261</v>
      </c>
      <c r="B128" s="169" t="s">
        <v>229</v>
      </c>
      <c r="C128" s="88">
        <v>5000</v>
      </c>
      <c r="D128" s="88">
        <v>0</v>
      </c>
      <c r="E128" s="87">
        <f t="shared" si="9"/>
        <v>0</v>
      </c>
    </row>
    <row r="129" spans="1:5" x14ac:dyDescent="0.25">
      <c r="A129" s="64" t="s">
        <v>98</v>
      </c>
      <c r="B129" s="75"/>
      <c r="C129" s="65">
        <f>SUM(C122:C128)</f>
        <v>38500</v>
      </c>
      <c r="D129" s="65">
        <f>SUM(D122:D128)</f>
        <v>4154.33</v>
      </c>
      <c r="E129" s="87">
        <f t="shared" si="9"/>
        <v>10.790467532467533</v>
      </c>
    </row>
    <row r="130" spans="1:5" x14ac:dyDescent="0.25">
      <c r="A130" s="85"/>
      <c r="B130" s="72"/>
      <c r="C130" s="70"/>
      <c r="D130" s="70"/>
      <c r="E130" s="87"/>
    </row>
    <row r="131" spans="1:5" x14ac:dyDescent="0.25">
      <c r="A131" s="203" t="s">
        <v>101</v>
      </c>
      <c r="B131" s="204"/>
      <c r="C131" s="205">
        <f>C81+C92+C105+C114+C129</f>
        <v>66038.720000000001</v>
      </c>
      <c r="D131" s="205">
        <f>D81+D92+D105+D114+D129</f>
        <v>10908.11</v>
      </c>
      <c r="E131" s="206">
        <f t="shared" si="9"/>
        <v>16.517748981203756</v>
      </c>
    </row>
    <row r="132" spans="1:5" x14ac:dyDescent="0.25">
      <c r="A132" s="76"/>
      <c r="B132" s="95"/>
      <c r="C132" s="78"/>
      <c r="D132" s="78"/>
      <c r="E132" s="96"/>
    </row>
    <row r="133" spans="1:5" x14ac:dyDescent="0.25">
      <c r="A133" s="76"/>
      <c r="B133" s="95"/>
      <c r="C133" s="78"/>
      <c r="D133" s="78"/>
      <c r="E133" s="78"/>
    </row>
    <row r="134" spans="1:5" ht="19.5" x14ac:dyDescent="0.35">
      <c r="A134" s="195" t="s">
        <v>133</v>
      </c>
      <c r="B134" s="196" t="s">
        <v>134</v>
      </c>
      <c r="C134" s="70"/>
      <c r="D134" s="70"/>
      <c r="E134" s="70"/>
    </row>
    <row r="135" spans="1:5" ht="15.75" x14ac:dyDescent="0.25">
      <c r="A135" s="71" t="s">
        <v>135</v>
      </c>
      <c r="B135" s="72"/>
      <c r="C135" s="70"/>
      <c r="D135" s="70"/>
      <c r="E135" s="70"/>
    </row>
    <row r="136" spans="1:5" ht="45" x14ac:dyDescent="0.25">
      <c r="A136" s="49" t="s">
        <v>75</v>
      </c>
      <c r="B136" s="50" t="s">
        <v>76</v>
      </c>
      <c r="C136" s="51" t="s">
        <v>227</v>
      </c>
      <c r="D136" s="51" t="s">
        <v>228</v>
      </c>
      <c r="E136" s="52" t="s">
        <v>205</v>
      </c>
    </row>
    <row r="137" spans="1:5" x14ac:dyDescent="0.25">
      <c r="A137" s="86"/>
      <c r="B137" s="54">
        <v>1</v>
      </c>
      <c r="C137" s="55">
        <v>2</v>
      </c>
      <c r="D137" s="55">
        <v>3</v>
      </c>
      <c r="E137" s="56">
        <v>4</v>
      </c>
    </row>
    <row r="138" spans="1:5" x14ac:dyDescent="0.25">
      <c r="A138" s="60">
        <v>42212</v>
      </c>
      <c r="B138" s="61" t="s">
        <v>136</v>
      </c>
      <c r="C138" s="62">
        <v>0</v>
      </c>
      <c r="D138" s="62">
        <v>0</v>
      </c>
      <c r="E138" s="62" t="e">
        <f>D138/C138*100</f>
        <v>#DIV/0!</v>
      </c>
    </row>
    <row r="139" spans="1:5" x14ac:dyDescent="0.25">
      <c r="A139" s="60">
        <v>32221</v>
      </c>
      <c r="B139" s="61" t="s">
        <v>80</v>
      </c>
      <c r="C139" s="62">
        <v>1000</v>
      </c>
      <c r="D139" s="62">
        <v>0</v>
      </c>
      <c r="E139" s="62">
        <f t="shared" ref="E139:E140" si="10">D139/C139*100</f>
        <v>0</v>
      </c>
    </row>
    <row r="140" spans="1:5" x14ac:dyDescent="0.25">
      <c r="A140" s="64" t="s">
        <v>101</v>
      </c>
      <c r="B140" s="75"/>
      <c r="C140" s="65">
        <f t="shared" ref="C140:D140" si="11">SUM(C138:C139)</f>
        <v>1000</v>
      </c>
      <c r="D140" s="65">
        <f t="shared" si="11"/>
        <v>0</v>
      </c>
      <c r="E140" s="62">
        <f t="shared" si="10"/>
        <v>0</v>
      </c>
    </row>
    <row r="141" spans="1:5" x14ac:dyDescent="0.25">
      <c r="A141" s="76"/>
      <c r="B141" s="77"/>
      <c r="C141" s="78"/>
      <c r="D141" s="78"/>
      <c r="E141" s="78"/>
    </row>
    <row r="142" spans="1:5" x14ac:dyDescent="0.25">
      <c r="A142" s="76"/>
      <c r="B142" s="77"/>
      <c r="C142" s="78"/>
      <c r="D142" s="78"/>
      <c r="E142" s="78"/>
    </row>
    <row r="143" spans="1:5" ht="15.75" x14ac:dyDescent="0.25">
      <c r="A143" s="71" t="s">
        <v>137</v>
      </c>
      <c r="B143" s="72"/>
      <c r="C143" s="70"/>
      <c r="D143" s="70"/>
      <c r="E143" s="70"/>
    </row>
    <row r="144" spans="1:5" ht="45" x14ac:dyDescent="0.25">
      <c r="A144" s="49" t="s">
        <v>75</v>
      </c>
      <c r="B144" s="50" t="s">
        <v>76</v>
      </c>
      <c r="C144" s="51" t="s">
        <v>227</v>
      </c>
      <c r="D144" s="51" t="s">
        <v>228</v>
      </c>
      <c r="E144" s="52" t="s">
        <v>205</v>
      </c>
    </row>
    <row r="145" spans="1:5" x14ac:dyDescent="0.25">
      <c r="A145" s="86"/>
      <c r="B145" s="54">
        <v>1</v>
      </c>
      <c r="C145" s="55">
        <v>2</v>
      </c>
      <c r="D145" s="55">
        <v>3</v>
      </c>
      <c r="E145" s="56">
        <v>4</v>
      </c>
    </row>
    <row r="146" spans="1:5" x14ac:dyDescent="0.25">
      <c r="A146" s="60">
        <v>32221</v>
      </c>
      <c r="B146" s="61" t="s">
        <v>80</v>
      </c>
      <c r="C146" s="62">
        <v>2000</v>
      </c>
      <c r="D146" s="62">
        <v>142.59</v>
      </c>
      <c r="E146" s="62">
        <f>D146/C146*100</f>
        <v>7.1295000000000002</v>
      </c>
    </row>
    <row r="147" spans="1:5" x14ac:dyDescent="0.25">
      <c r="A147" s="64" t="s">
        <v>101</v>
      </c>
      <c r="B147" s="75"/>
      <c r="C147" s="65">
        <f>SUM(C146)</f>
        <v>2000</v>
      </c>
      <c r="D147" s="65">
        <f>SUM(D146)</f>
        <v>142.59</v>
      </c>
      <c r="E147" s="62">
        <f t="shared" ref="E147:E149" si="12">D147/C147*100</f>
        <v>7.1295000000000002</v>
      </c>
    </row>
    <row r="148" spans="1:5" x14ac:dyDescent="0.25">
      <c r="A148" s="76"/>
      <c r="B148" s="77"/>
      <c r="C148" s="78"/>
      <c r="D148" s="78"/>
      <c r="E148" s="62"/>
    </row>
    <row r="149" spans="1:5" x14ac:dyDescent="0.25">
      <c r="A149" s="212" t="s">
        <v>101</v>
      </c>
      <c r="B149" s="213"/>
      <c r="C149" s="214">
        <f>C147+C140</f>
        <v>3000</v>
      </c>
      <c r="D149" s="214">
        <f>D147+D140</f>
        <v>142.59</v>
      </c>
      <c r="E149" s="215">
        <f t="shared" si="12"/>
        <v>4.7530000000000001</v>
      </c>
    </row>
    <row r="150" spans="1:5" x14ac:dyDescent="0.25">
      <c r="A150" s="76"/>
      <c r="B150" s="90"/>
      <c r="C150" s="78"/>
      <c r="D150" s="78"/>
      <c r="E150" s="62"/>
    </row>
    <row r="151" spans="1:5" x14ac:dyDescent="0.25">
      <c r="A151" s="76"/>
      <c r="B151" s="95"/>
      <c r="C151" s="78"/>
      <c r="D151" s="78"/>
      <c r="E151" s="78"/>
    </row>
    <row r="152" spans="1:5" x14ac:dyDescent="0.25">
      <c r="A152" s="76"/>
      <c r="B152" s="95"/>
      <c r="C152" s="78"/>
      <c r="D152" s="78"/>
      <c r="E152" s="78"/>
    </row>
    <row r="153" spans="1:5" x14ac:dyDescent="0.25">
      <c r="A153" s="76"/>
      <c r="B153" s="95"/>
      <c r="C153" s="78"/>
      <c r="D153" s="78"/>
      <c r="E153" s="78"/>
    </row>
    <row r="154" spans="1:5" ht="19.5" x14ac:dyDescent="0.35">
      <c r="A154" s="195" t="s">
        <v>139</v>
      </c>
      <c r="B154" s="196" t="s">
        <v>140</v>
      </c>
      <c r="C154" s="70"/>
      <c r="D154" s="70"/>
      <c r="E154" s="70"/>
    </row>
    <row r="155" spans="1:5" ht="15.75" x14ac:dyDescent="0.25">
      <c r="A155" s="71" t="s">
        <v>108</v>
      </c>
      <c r="B155" s="72"/>
      <c r="C155" s="70"/>
      <c r="D155" s="70"/>
      <c r="E155" s="70"/>
    </row>
    <row r="156" spans="1:5" ht="45" x14ac:dyDescent="0.25">
      <c r="A156" s="49" t="s">
        <v>75</v>
      </c>
      <c r="B156" s="50" t="s">
        <v>76</v>
      </c>
      <c r="C156" s="51" t="s">
        <v>227</v>
      </c>
      <c r="D156" s="51" t="s">
        <v>228</v>
      </c>
      <c r="E156" s="52" t="s">
        <v>205</v>
      </c>
    </row>
    <row r="157" spans="1:5" x14ac:dyDescent="0.25">
      <c r="A157" s="86"/>
      <c r="B157" s="54">
        <v>1</v>
      </c>
      <c r="C157" s="55">
        <v>2</v>
      </c>
      <c r="D157" s="55">
        <v>3</v>
      </c>
      <c r="E157" s="56">
        <v>4</v>
      </c>
    </row>
    <row r="158" spans="1:5" x14ac:dyDescent="0.25">
      <c r="A158" s="60">
        <v>42411</v>
      </c>
      <c r="B158" s="61" t="s">
        <v>140</v>
      </c>
      <c r="C158" s="62">
        <v>15000</v>
      </c>
      <c r="D158" s="62">
        <v>58.03</v>
      </c>
      <c r="E158" s="62">
        <f>D158/C158*100</f>
        <v>0.38686666666666669</v>
      </c>
    </row>
    <row r="159" spans="1:5" x14ac:dyDescent="0.25">
      <c r="A159" s="64" t="s">
        <v>101</v>
      </c>
      <c r="B159" s="75"/>
      <c r="C159" s="65">
        <f>SUM(C158:C158)</f>
        <v>15000</v>
      </c>
      <c r="D159" s="65">
        <f>SUM(D158:D158)</f>
        <v>58.03</v>
      </c>
      <c r="E159" s="62">
        <f>D159/C159*100</f>
        <v>0.38686666666666669</v>
      </c>
    </row>
    <row r="160" spans="1:5" x14ac:dyDescent="0.25">
      <c r="A160" s="76"/>
      <c r="B160" s="77"/>
      <c r="C160" s="78"/>
      <c r="D160" s="78"/>
      <c r="E160" s="78"/>
    </row>
    <row r="161" spans="1:5" x14ac:dyDescent="0.25">
      <c r="A161" s="76"/>
      <c r="B161" s="77"/>
      <c r="C161" s="78"/>
      <c r="D161" s="78"/>
      <c r="E161" s="78"/>
    </row>
    <row r="162" spans="1:5" x14ac:dyDescent="0.25">
      <c r="A162" s="85"/>
      <c r="B162" s="72"/>
      <c r="C162" s="70"/>
      <c r="D162" s="70"/>
      <c r="E162" s="70"/>
    </row>
    <row r="163" spans="1:5" ht="19.5" x14ac:dyDescent="0.35">
      <c r="A163" s="195" t="s">
        <v>141</v>
      </c>
      <c r="B163" s="196" t="s">
        <v>142</v>
      </c>
      <c r="C163" s="70"/>
      <c r="D163" s="70"/>
      <c r="E163" s="70"/>
    </row>
    <row r="164" spans="1:5" ht="15.75" x14ac:dyDescent="0.25">
      <c r="A164" s="71" t="s">
        <v>116</v>
      </c>
      <c r="B164" s="72"/>
      <c r="C164" s="70"/>
      <c r="D164" s="70"/>
      <c r="E164" s="70"/>
    </row>
    <row r="165" spans="1:5" ht="45" x14ac:dyDescent="0.25">
      <c r="A165" s="49" t="s">
        <v>75</v>
      </c>
      <c r="B165" s="50" t="s">
        <v>76</v>
      </c>
      <c r="C165" s="51" t="s">
        <v>227</v>
      </c>
      <c r="D165" s="51" t="s">
        <v>228</v>
      </c>
      <c r="E165" s="52" t="s">
        <v>205</v>
      </c>
    </row>
    <row r="166" spans="1:5" x14ac:dyDescent="0.25">
      <c r="A166" s="86"/>
      <c r="B166" s="54">
        <v>1</v>
      </c>
      <c r="C166" s="55">
        <v>2</v>
      </c>
      <c r="D166" s="55">
        <v>3</v>
      </c>
      <c r="E166" s="56">
        <v>4</v>
      </c>
    </row>
    <row r="167" spans="1:5" x14ac:dyDescent="0.25">
      <c r="A167" s="60">
        <v>32372</v>
      </c>
      <c r="B167" s="61" t="s">
        <v>104</v>
      </c>
      <c r="C167" s="62">
        <v>730.02</v>
      </c>
      <c r="D167" s="62">
        <v>730.02</v>
      </c>
      <c r="E167" s="62">
        <f>D167/C167*100</f>
        <v>100</v>
      </c>
    </row>
    <row r="168" spans="1:5" x14ac:dyDescent="0.25">
      <c r="A168" s="64" t="s">
        <v>101</v>
      </c>
      <c r="B168" s="75"/>
      <c r="C168" s="65">
        <f>SUM(C167:C167)</f>
        <v>730.02</v>
      </c>
      <c r="D168" s="65">
        <f>SUM(D167:D167)</f>
        <v>730.02</v>
      </c>
      <c r="E168" s="62">
        <f>D168/C168*100</f>
        <v>100</v>
      </c>
    </row>
    <row r="169" spans="1:5" x14ac:dyDescent="0.25">
      <c r="A169" s="85"/>
      <c r="B169" s="72"/>
      <c r="C169" s="70"/>
      <c r="D169" s="70"/>
      <c r="E169" s="70"/>
    </row>
    <row r="170" spans="1:5" x14ac:dyDescent="0.25">
      <c r="A170" s="85"/>
      <c r="B170" s="72"/>
      <c r="C170" s="70"/>
      <c r="D170" s="70"/>
      <c r="E170" s="70"/>
    </row>
    <row r="171" spans="1:5" ht="19.5" x14ac:dyDescent="0.35">
      <c r="A171" s="195" t="s">
        <v>143</v>
      </c>
      <c r="B171" s="196" t="s">
        <v>144</v>
      </c>
      <c r="C171" s="70"/>
      <c r="D171" s="70"/>
      <c r="E171" s="70"/>
    </row>
    <row r="172" spans="1:5" ht="15.75" x14ac:dyDescent="0.25">
      <c r="A172" s="71" t="s">
        <v>108</v>
      </c>
      <c r="B172" s="72"/>
      <c r="C172" s="70"/>
      <c r="D172" s="70"/>
      <c r="E172" s="70"/>
    </row>
    <row r="173" spans="1:5" ht="45" x14ac:dyDescent="0.25">
      <c r="A173" s="49" t="s">
        <v>75</v>
      </c>
      <c r="B173" s="50" t="s">
        <v>76</v>
      </c>
      <c r="C173" s="51" t="s">
        <v>227</v>
      </c>
      <c r="D173" s="51" t="s">
        <v>228</v>
      </c>
      <c r="E173" s="52" t="s">
        <v>205</v>
      </c>
    </row>
    <row r="174" spans="1:5" x14ac:dyDescent="0.25">
      <c r="A174" s="86"/>
      <c r="B174" s="54">
        <v>1</v>
      </c>
      <c r="C174" s="55">
        <v>2</v>
      </c>
      <c r="D174" s="55">
        <v>3</v>
      </c>
      <c r="E174" s="56">
        <v>4</v>
      </c>
    </row>
    <row r="175" spans="1:5" x14ac:dyDescent="0.25">
      <c r="A175" s="60">
        <v>32224</v>
      </c>
      <c r="B175" s="61" t="s">
        <v>138</v>
      </c>
      <c r="C175" s="62">
        <v>29124.34</v>
      </c>
      <c r="D175" s="62">
        <v>23467.41</v>
      </c>
      <c r="E175" s="62">
        <f>D175/C175*100</f>
        <v>80.576624225647691</v>
      </c>
    </row>
    <row r="176" spans="1:5" x14ac:dyDescent="0.25">
      <c r="A176" s="64" t="s">
        <v>101</v>
      </c>
      <c r="B176" s="75"/>
      <c r="C176" s="65">
        <f>SUM(C175:C175)</f>
        <v>29124.34</v>
      </c>
      <c r="D176" s="65">
        <f>SUM(D175:D175)</f>
        <v>23467.41</v>
      </c>
      <c r="E176" s="62">
        <f>D176/C176*100</f>
        <v>80.576624225647691</v>
      </c>
    </row>
    <row r="177" spans="1:5" x14ac:dyDescent="0.25">
      <c r="A177" s="85"/>
      <c r="B177" s="72"/>
      <c r="C177" s="70"/>
      <c r="D177" s="70"/>
      <c r="E177" s="70"/>
    </row>
    <row r="178" spans="1:5" x14ac:dyDescent="0.25">
      <c r="A178" s="85"/>
      <c r="B178" s="72"/>
      <c r="C178" s="70"/>
      <c r="D178" s="70"/>
      <c r="E178" s="70"/>
    </row>
    <row r="179" spans="1:5" ht="19.5" x14ac:dyDescent="0.35">
      <c r="A179" s="195" t="s">
        <v>145</v>
      </c>
      <c r="B179" s="196" t="s">
        <v>146</v>
      </c>
      <c r="C179" s="207"/>
      <c r="D179" s="70"/>
      <c r="E179" s="70"/>
    </row>
    <row r="180" spans="1:5" ht="15.75" x14ac:dyDescent="0.25">
      <c r="A180" s="71" t="s">
        <v>108</v>
      </c>
      <c r="B180" s="72"/>
      <c r="C180" s="70"/>
      <c r="D180" s="70"/>
      <c r="E180" s="70"/>
    </row>
    <row r="181" spans="1:5" ht="45" x14ac:dyDescent="0.25">
      <c r="A181" s="49" t="s">
        <v>75</v>
      </c>
      <c r="B181" s="50" t="s">
        <v>76</v>
      </c>
      <c r="C181" s="51" t="s">
        <v>227</v>
      </c>
      <c r="D181" s="51" t="s">
        <v>228</v>
      </c>
      <c r="E181" s="52" t="s">
        <v>205</v>
      </c>
    </row>
    <row r="182" spans="1:5" x14ac:dyDescent="0.25">
      <c r="A182" s="86"/>
      <c r="B182" s="54">
        <v>1</v>
      </c>
      <c r="C182" s="55">
        <v>2</v>
      </c>
      <c r="D182" s="55">
        <v>3</v>
      </c>
      <c r="E182" s="56">
        <v>4</v>
      </c>
    </row>
    <row r="183" spans="1:5" x14ac:dyDescent="0.25">
      <c r="A183" s="60">
        <v>38129</v>
      </c>
      <c r="B183" s="61" t="s">
        <v>147</v>
      </c>
      <c r="C183" s="62">
        <v>455</v>
      </c>
      <c r="D183" s="62">
        <v>452.68</v>
      </c>
      <c r="E183" s="62">
        <f>D183/C183*100</f>
        <v>99.490109890109892</v>
      </c>
    </row>
    <row r="184" spans="1:5" x14ac:dyDescent="0.25">
      <c r="A184" s="64" t="s">
        <v>101</v>
      </c>
      <c r="B184" s="75"/>
      <c r="C184" s="65">
        <f>SUM(C183:C183)</f>
        <v>455</v>
      </c>
      <c r="D184" s="65">
        <f>SUM(D183:D183)</f>
        <v>452.68</v>
      </c>
      <c r="E184" s="62">
        <f>D184/C184*100</f>
        <v>99.490109890109892</v>
      </c>
    </row>
    <row r="185" spans="1:5" x14ac:dyDescent="0.25">
      <c r="A185" s="76"/>
      <c r="B185" s="77"/>
      <c r="C185" s="78"/>
      <c r="D185" s="78"/>
      <c r="E185" s="78"/>
    </row>
    <row r="186" spans="1:5" x14ac:dyDescent="0.25">
      <c r="A186" s="85"/>
      <c r="B186" s="72"/>
      <c r="C186" s="70"/>
      <c r="D186" s="70"/>
      <c r="E186" s="70"/>
    </row>
    <row r="187" spans="1:5" ht="19.5" x14ac:dyDescent="0.35">
      <c r="A187" s="198">
        <v>4306</v>
      </c>
      <c r="B187" s="193" t="s">
        <v>148</v>
      </c>
      <c r="C187" s="199">
        <f>C216</f>
        <v>20557.310000000001</v>
      </c>
      <c r="D187" s="199">
        <f t="shared" ref="D187:E187" si="13">D216</f>
        <v>16723.77</v>
      </c>
      <c r="E187" s="199">
        <f t="shared" si="13"/>
        <v>81.351937583273298</v>
      </c>
    </row>
    <row r="188" spans="1:5" x14ac:dyDescent="0.25">
      <c r="A188" s="72"/>
      <c r="B188" s="72"/>
      <c r="C188" s="70"/>
      <c r="D188" s="70"/>
      <c r="E188" s="70"/>
    </row>
    <row r="189" spans="1:5" x14ac:dyDescent="0.25">
      <c r="A189" s="85"/>
      <c r="B189" s="72"/>
      <c r="C189" s="70"/>
      <c r="D189" s="70"/>
      <c r="E189" s="70"/>
    </row>
    <row r="190" spans="1:5" ht="19.5" x14ac:dyDescent="0.35">
      <c r="A190" s="208" t="s">
        <v>149</v>
      </c>
      <c r="B190" s="209" t="s">
        <v>231</v>
      </c>
      <c r="C190" s="210"/>
      <c r="D190" s="211"/>
      <c r="E190" s="70"/>
    </row>
    <row r="191" spans="1:5" ht="15.75" x14ac:dyDescent="0.25">
      <c r="A191" s="71" t="s">
        <v>150</v>
      </c>
      <c r="B191" s="72"/>
      <c r="C191" s="70"/>
      <c r="D191" s="70"/>
      <c r="E191" s="70"/>
    </row>
    <row r="192" spans="1:5" ht="45" x14ac:dyDescent="0.25">
      <c r="A192" s="49" t="s">
        <v>75</v>
      </c>
      <c r="B192" s="50" t="s">
        <v>76</v>
      </c>
      <c r="C192" s="51" t="s">
        <v>227</v>
      </c>
      <c r="D192" s="51" t="s">
        <v>228</v>
      </c>
      <c r="E192" s="52" t="s">
        <v>205</v>
      </c>
    </row>
    <row r="193" spans="1:5" x14ac:dyDescent="0.25">
      <c r="A193" s="86"/>
      <c r="B193" s="54">
        <v>1</v>
      </c>
      <c r="C193" s="55">
        <v>2</v>
      </c>
      <c r="D193" s="55">
        <v>3</v>
      </c>
      <c r="E193" s="56">
        <v>4</v>
      </c>
    </row>
    <row r="194" spans="1:5" x14ac:dyDescent="0.25">
      <c r="A194" s="60">
        <v>31111</v>
      </c>
      <c r="B194" s="61" t="s">
        <v>236</v>
      </c>
      <c r="C194" s="88">
        <v>2016</v>
      </c>
      <c r="D194" s="88">
        <v>0</v>
      </c>
      <c r="E194" s="87">
        <f>D194/C194*100</f>
        <v>0</v>
      </c>
    </row>
    <row r="195" spans="1:5" x14ac:dyDescent="0.25">
      <c r="A195" s="60">
        <v>31321</v>
      </c>
      <c r="B195" s="61" t="s">
        <v>235</v>
      </c>
      <c r="C195" s="88">
        <v>332.64</v>
      </c>
      <c r="D195" s="88">
        <v>0</v>
      </c>
      <c r="E195" s="87">
        <f t="shared" ref="E195:E196" si="14">D195/C195*100</f>
        <v>0</v>
      </c>
    </row>
    <row r="196" spans="1:5" x14ac:dyDescent="0.25">
      <c r="A196" s="64" t="s">
        <v>98</v>
      </c>
      <c r="B196" s="75"/>
      <c r="C196" s="65">
        <f>SUM(C194:C195)</f>
        <v>2348.64</v>
      </c>
      <c r="D196" s="65">
        <f>SUM(D194:D195)</f>
        <v>0</v>
      </c>
      <c r="E196" s="87">
        <f t="shared" si="14"/>
        <v>0</v>
      </c>
    </row>
    <row r="197" spans="1:5" x14ac:dyDescent="0.25">
      <c r="A197" s="85"/>
      <c r="B197" s="72"/>
      <c r="C197" s="70"/>
      <c r="D197" s="70"/>
      <c r="E197" s="70"/>
    </row>
    <row r="198" spans="1:5" ht="15.75" x14ac:dyDescent="0.25">
      <c r="A198" s="71" t="s">
        <v>116</v>
      </c>
      <c r="B198" s="72"/>
      <c r="C198" s="70"/>
      <c r="D198" s="70"/>
      <c r="E198" s="70"/>
    </row>
    <row r="199" spans="1:5" ht="45" x14ac:dyDescent="0.25">
      <c r="A199" s="49" t="s">
        <v>75</v>
      </c>
      <c r="B199" s="50" t="s">
        <v>76</v>
      </c>
      <c r="C199" s="51" t="s">
        <v>227</v>
      </c>
      <c r="D199" s="51" t="s">
        <v>228</v>
      </c>
      <c r="E199" s="52" t="s">
        <v>205</v>
      </c>
    </row>
    <row r="200" spans="1:5" x14ac:dyDescent="0.25">
      <c r="A200" s="86"/>
      <c r="B200" s="54">
        <v>1</v>
      </c>
      <c r="C200" s="55">
        <v>2</v>
      </c>
      <c r="D200" s="55">
        <v>3</v>
      </c>
      <c r="E200" s="56">
        <v>4</v>
      </c>
    </row>
    <row r="201" spans="1:5" x14ac:dyDescent="0.25">
      <c r="A201" s="60">
        <v>31111</v>
      </c>
      <c r="B201" s="169" t="s">
        <v>232</v>
      </c>
      <c r="C201" s="171">
        <v>4686.08</v>
      </c>
      <c r="D201" s="171">
        <v>4429.4399999999996</v>
      </c>
      <c r="E201" s="97">
        <f>D201/C201*100</f>
        <v>94.523354274788304</v>
      </c>
    </row>
    <row r="202" spans="1:5" x14ac:dyDescent="0.25">
      <c r="A202" s="60">
        <v>32121</v>
      </c>
      <c r="B202" s="169" t="s">
        <v>109</v>
      </c>
      <c r="C202" s="88">
        <v>945</v>
      </c>
      <c r="D202" s="88">
        <v>300</v>
      </c>
      <c r="E202" s="97">
        <f t="shared" ref="E202:E205" si="15">D202/C202*100</f>
        <v>31.746031746031743</v>
      </c>
    </row>
    <row r="203" spans="1:5" x14ac:dyDescent="0.25">
      <c r="A203" s="60">
        <v>31321</v>
      </c>
      <c r="B203" s="169" t="s">
        <v>233</v>
      </c>
      <c r="C203" s="88">
        <v>348.48</v>
      </c>
      <c r="D203" s="88">
        <v>348.48</v>
      </c>
      <c r="E203" s="97">
        <f t="shared" si="15"/>
        <v>100</v>
      </c>
    </row>
    <row r="204" spans="1:5" x14ac:dyDescent="0.25">
      <c r="A204" s="60">
        <v>31321</v>
      </c>
      <c r="B204" s="169" t="s">
        <v>234</v>
      </c>
      <c r="C204" s="88">
        <v>1185.3900000000001</v>
      </c>
      <c r="D204" s="88">
        <v>602.13</v>
      </c>
      <c r="E204" s="97">
        <f t="shared" si="15"/>
        <v>50.795940576519115</v>
      </c>
    </row>
    <row r="205" spans="1:5" x14ac:dyDescent="0.25">
      <c r="A205" s="64" t="s">
        <v>98</v>
      </c>
      <c r="B205" s="75"/>
      <c r="C205" s="65">
        <f>SUM(C201:C204)</f>
        <v>7164.95</v>
      </c>
      <c r="D205" s="65">
        <f>SUM(D201:D204)</f>
        <v>5680.05</v>
      </c>
      <c r="E205" s="248">
        <f t="shared" si="15"/>
        <v>79.275500875791181</v>
      </c>
    </row>
    <row r="206" spans="1:5" ht="23.25" customHeight="1" x14ac:dyDescent="0.25">
      <c r="A206" s="76"/>
      <c r="B206" s="77"/>
      <c r="C206" s="78"/>
      <c r="D206" s="78"/>
      <c r="E206" s="78"/>
    </row>
    <row r="207" spans="1:5" x14ac:dyDescent="0.25">
      <c r="A207" s="76"/>
      <c r="B207" s="77"/>
      <c r="C207" s="78"/>
      <c r="D207" s="78"/>
      <c r="E207" s="96"/>
    </row>
    <row r="208" spans="1:5" ht="15.75" x14ac:dyDescent="0.25">
      <c r="A208" s="71" t="s">
        <v>219</v>
      </c>
      <c r="B208" s="72"/>
      <c r="C208" s="70"/>
      <c r="D208" s="70"/>
      <c r="E208" s="70"/>
    </row>
    <row r="209" spans="1:5" ht="45" x14ac:dyDescent="0.25">
      <c r="A209" s="49" t="s">
        <v>75</v>
      </c>
      <c r="B209" s="50" t="s">
        <v>76</v>
      </c>
      <c r="C209" s="51" t="s">
        <v>214</v>
      </c>
      <c r="D209" s="51" t="s">
        <v>215</v>
      </c>
      <c r="E209" s="52" t="s">
        <v>205</v>
      </c>
    </row>
    <row r="210" spans="1:5" x14ac:dyDescent="0.25">
      <c r="A210" s="86"/>
      <c r="B210" s="54">
        <v>1</v>
      </c>
      <c r="C210" s="55">
        <v>2</v>
      </c>
      <c r="D210" s="55">
        <v>3</v>
      </c>
      <c r="E210" s="56">
        <v>4</v>
      </c>
    </row>
    <row r="211" spans="1:5" x14ac:dyDescent="0.25">
      <c r="A211" s="60">
        <v>31111</v>
      </c>
      <c r="B211" s="61" t="s">
        <v>238</v>
      </c>
      <c r="C211" s="88">
        <v>1892.36</v>
      </c>
      <c r="D211" s="88">
        <v>1892.36</v>
      </c>
      <c r="E211" s="62">
        <f>D211/C211*100</f>
        <v>100</v>
      </c>
    </row>
    <row r="212" spans="1:5" x14ac:dyDescent="0.25">
      <c r="A212" s="60">
        <v>31111</v>
      </c>
      <c r="B212" s="61" t="s">
        <v>237</v>
      </c>
      <c r="C212" s="88">
        <v>9151.36</v>
      </c>
      <c r="D212" s="88">
        <v>9151.36</v>
      </c>
      <c r="E212" s="62">
        <f t="shared" ref="E212:E216" si="16">D212/C212*100</f>
        <v>100</v>
      </c>
    </row>
    <row r="213" spans="1:5" x14ac:dyDescent="0.25">
      <c r="A213" s="64" t="s">
        <v>98</v>
      </c>
      <c r="B213" s="75"/>
      <c r="C213" s="65">
        <f>SUM(C211:C212)</f>
        <v>11043.720000000001</v>
      </c>
      <c r="D213" s="65">
        <f>SUM(D211:D212)</f>
        <v>11043.720000000001</v>
      </c>
      <c r="E213" s="62">
        <f t="shared" si="16"/>
        <v>100</v>
      </c>
    </row>
    <row r="214" spans="1:5" x14ac:dyDescent="0.25">
      <c r="A214" s="76"/>
      <c r="B214" s="77"/>
      <c r="C214" s="78"/>
      <c r="D214" s="78"/>
      <c r="E214" s="96"/>
    </row>
    <row r="215" spans="1:5" x14ac:dyDescent="0.25">
      <c r="A215" s="76"/>
      <c r="B215" s="77"/>
      <c r="C215" s="78"/>
      <c r="D215" s="78"/>
      <c r="E215" s="96"/>
    </row>
    <row r="216" spans="1:5" x14ac:dyDescent="0.25">
      <c r="A216" s="64" t="s">
        <v>101</v>
      </c>
      <c r="B216" s="61"/>
      <c r="C216" s="65">
        <f>C213+C205+C196</f>
        <v>20557.310000000001</v>
      </c>
      <c r="D216" s="65">
        <f t="shared" ref="D216" si="17">D196+D205+D213</f>
        <v>16723.77</v>
      </c>
      <c r="E216" s="62">
        <f t="shared" si="16"/>
        <v>81.351937583273298</v>
      </c>
    </row>
    <row r="217" spans="1:5" ht="15.75" thickBot="1" x14ac:dyDescent="0.3">
      <c r="A217" s="76"/>
      <c r="B217" s="90"/>
      <c r="C217" s="78"/>
      <c r="D217" s="78"/>
      <c r="E217" s="271"/>
    </row>
    <row r="218" spans="1:5" ht="15.75" thickBot="1" x14ac:dyDescent="0.3">
      <c r="A218" s="269"/>
      <c r="B218" s="270"/>
      <c r="C218" s="272">
        <f>C6+C61+C187</f>
        <v>1069910.1100000001</v>
      </c>
      <c r="D218" s="272">
        <f>D6+D61+D187</f>
        <v>709856.28</v>
      </c>
      <c r="E218" s="273">
        <f t="shared" ref="E218" si="18">D218/C218*100</f>
        <v>66.347282202988055</v>
      </c>
    </row>
    <row r="219" spans="1:5" x14ac:dyDescent="0.25">
      <c r="D219" s="96"/>
      <c r="E219" s="96"/>
    </row>
    <row r="220" spans="1:5" x14ac:dyDescent="0.25">
      <c r="D220" s="96"/>
      <c r="E220" s="96"/>
    </row>
  </sheetData>
  <mergeCells count="4">
    <mergeCell ref="A8:B8"/>
    <mergeCell ref="A2:E3"/>
    <mergeCell ref="A5:E5"/>
    <mergeCell ref="A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 Račun prihoda i rashoda</vt:lpstr>
      <vt:lpstr>Rashodi prema izvorima finan</vt:lpstr>
      <vt:lpstr>Rashodi prema funkcijskoj k </vt:lpstr>
      <vt:lpstr>POSEBNI DIO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2025-07-15T09:17:21Z</cp:lastPrinted>
  <dcterms:created xsi:type="dcterms:W3CDTF">2022-08-12T12:51:27Z</dcterms:created>
  <dcterms:modified xsi:type="dcterms:W3CDTF">2025-07-15T09:18:18Z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